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alanlauhf\Desktop\"/>
    </mc:Choice>
  </mc:AlternateContent>
  <xr:revisionPtr revIDLastSave="0" documentId="13_ncr:1_{5F862B4E-504B-4189-A592-082349D46A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dustry Overview" sheetId="4" r:id="rId1"/>
    <sheet name="数字人市场规模" sheetId="6" r:id="rId2"/>
    <sheet name="竞争" sheetId="7" r:id="rId3"/>
    <sheet name="Notes" sheetId="5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" i="7" l="1"/>
  <c r="I96" i="7"/>
  <c r="J94" i="7"/>
  <c r="I88" i="7"/>
  <c r="J84" i="7"/>
  <c r="M84" i="7" s="1"/>
  <c r="J81" i="7"/>
  <c r="J80" i="7" s="1"/>
  <c r="M80" i="7" s="1"/>
  <c r="I80" i="7"/>
  <c r="H80" i="7"/>
  <c r="M76" i="7"/>
  <c r="J76" i="7"/>
  <c r="I76" i="7"/>
  <c r="H76" i="7"/>
  <c r="K73" i="7"/>
  <c r="J73" i="7"/>
  <c r="K72" i="7"/>
  <c r="J72" i="7"/>
  <c r="M72" i="7" s="1"/>
  <c r="I72" i="7"/>
  <c r="O67" i="7"/>
  <c r="M47" i="7" s="1"/>
  <c r="J54" i="7"/>
  <c r="J50" i="7"/>
  <c r="J49" i="7"/>
  <c r="J48" i="7"/>
  <c r="J36" i="7"/>
  <c r="J35" i="7"/>
  <c r="J29" i="7"/>
  <c r="I29" i="7"/>
  <c r="J14" i="7"/>
  <c r="J13" i="7"/>
  <c r="J15" i="7" s="1"/>
  <c r="J12" i="7"/>
  <c r="J11" i="7"/>
  <c r="J10" i="7"/>
  <c r="J9" i="7"/>
  <c r="J8" i="7"/>
  <c r="J7" i="7"/>
  <c r="J6" i="7"/>
  <c r="M5" i="7"/>
  <c r="M347" i="6"/>
  <c r="M346" i="6"/>
  <c r="V341" i="6"/>
  <c r="S341" i="6"/>
  <c r="W341" i="6" s="1"/>
  <c r="W340" i="6"/>
  <c r="V340" i="6"/>
  <c r="V339" i="6"/>
  <c r="O339" i="6"/>
  <c r="V337" i="6"/>
  <c r="N337" i="6"/>
  <c r="T329" i="6"/>
  <c r="R329" i="6"/>
  <c r="S329" i="6" s="1"/>
  <c r="Q329" i="6"/>
  <c r="N329" i="6"/>
  <c r="O329" i="6" s="1"/>
  <c r="P329" i="6" s="1"/>
  <c r="M329" i="6"/>
  <c r="L325" i="6" s="1"/>
  <c r="L317" i="6" s="1"/>
  <c r="L315" i="6" s="1"/>
  <c r="L329" i="6"/>
  <c r="K329" i="6"/>
  <c r="M325" i="6"/>
  <c r="O322" i="6"/>
  <c r="P322" i="6" s="1"/>
  <c r="Q322" i="6" s="1"/>
  <c r="R322" i="6" s="1"/>
  <c r="N322" i="6"/>
  <c r="K322" i="6"/>
  <c r="L322" i="6" s="1"/>
  <c r="O320" i="6"/>
  <c r="O319" i="6" s="1"/>
  <c r="K320" i="6"/>
  <c r="N319" i="6"/>
  <c r="L319" i="6"/>
  <c r="M320" i="6" s="1"/>
  <c r="M317" i="6"/>
  <c r="M315" i="6" s="1"/>
  <c r="M313" i="6" s="1"/>
  <c r="M311" i="6" s="1"/>
  <c r="P304" i="6"/>
  <c r="Q304" i="6" s="1"/>
  <c r="R304" i="6" s="1"/>
  <c r="O304" i="6"/>
  <c r="N304" i="6"/>
  <c r="K304" i="6"/>
  <c r="L304" i="6" s="1"/>
  <c r="M302" i="6"/>
  <c r="N302" i="6" s="1"/>
  <c r="L302" i="6"/>
  <c r="K302" i="6"/>
  <c r="M298" i="6"/>
  <c r="L298" i="6"/>
  <c r="K298" i="6"/>
  <c r="K296" i="6" s="1"/>
  <c r="K294" i="6" s="1"/>
  <c r="K292" i="6" s="1"/>
  <c r="K266" i="6" s="1"/>
  <c r="J298" i="6"/>
  <c r="M296" i="6"/>
  <c r="J296" i="6"/>
  <c r="J294" i="6" s="1"/>
  <c r="J292" i="6" s="1"/>
  <c r="J266" i="6" s="1"/>
  <c r="S286" i="6"/>
  <c r="M286" i="6"/>
  <c r="K286" i="6" s="1"/>
  <c r="L286" i="6" s="1"/>
  <c r="J286" i="6"/>
  <c r="O284" i="6"/>
  <c r="P284" i="6" s="1"/>
  <c r="Q284" i="6" s="1"/>
  <c r="R284" i="6" s="1"/>
  <c r="N284" i="6"/>
  <c r="K284" i="6"/>
  <c r="L284" i="6" s="1"/>
  <c r="Q282" i="6"/>
  <c r="R282" i="6" s="1"/>
  <c r="P282" i="6"/>
  <c r="N282" i="6"/>
  <c r="M278" i="6"/>
  <c r="N278" i="6" s="1"/>
  <c r="O278" i="6" s="1"/>
  <c r="L278" i="6"/>
  <c r="K278" i="6"/>
  <c r="N275" i="6"/>
  <c r="N274" i="6" s="1"/>
  <c r="M275" i="6"/>
  <c r="L275" i="6"/>
  <c r="K275" i="6"/>
  <c r="M272" i="6"/>
  <c r="L272" i="6"/>
  <c r="K272" i="6"/>
  <c r="K270" i="6" s="1"/>
  <c r="J272" i="6"/>
  <c r="M270" i="6"/>
  <c r="L270" i="6"/>
  <c r="J270" i="6"/>
  <c r="Q257" i="6"/>
  <c r="R257" i="6" s="1"/>
  <c r="P257" i="6"/>
  <c r="N257" i="6"/>
  <c r="O257" i="6" s="1"/>
  <c r="K257" i="6"/>
  <c r="L257" i="6" s="1"/>
  <c r="M254" i="6"/>
  <c r="L254" i="6"/>
  <c r="K254" i="6"/>
  <c r="N253" i="6"/>
  <c r="O253" i="6" s="1"/>
  <c r="O254" i="6" s="1"/>
  <c r="M253" i="6"/>
  <c r="S251" i="6"/>
  <c r="M251" i="6"/>
  <c r="L251" i="6"/>
  <c r="M249" i="6" s="1"/>
  <c r="K251" i="6"/>
  <c r="J251" i="6"/>
  <c r="L249" i="6"/>
  <c r="K249" i="6"/>
  <c r="K247" i="6" s="1"/>
  <c r="J249" i="6"/>
  <c r="J247" i="6"/>
  <c r="J191" i="6" s="1"/>
  <c r="O242" i="6"/>
  <c r="P242" i="6" s="1"/>
  <c r="Q242" i="6" s="1"/>
  <c r="R242" i="6" s="1"/>
  <c r="N242" i="6"/>
  <c r="L242" i="6"/>
  <c r="K242" i="6"/>
  <c r="Q241" i="6"/>
  <c r="R241" i="6" s="1"/>
  <c r="S241" i="6" s="1"/>
  <c r="O241" i="6"/>
  <c r="P241" i="6" s="1"/>
  <c r="N241" i="6"/>
  <c r="M241" i="6"/>
  <c r="L241" i="6"/>
  <c r="K241" i="6"/>
  <c r="O240" i="6"/>
  <c r="P240" i="6" s="1"/>
  <c r="Q240" i="6" s="1"/>
  <c r="R240" i="6" s="1"/>
  <c r="S240" i="6" s="1"/>
  <c r="K236" i="6"/>
  <c r="S235" i="6"/>
  <c r="L235" i="6"/>
  <c r="M233" i="6"/>
  <c r="K233" i="6"/>
  <c r="J233" i="6"/>
  <c r="K231" i="6"/>
  <c r="K232" i="6" s="1"/>
  <c r="J231" i="6"/>
  <c r="K229" i="6"/>
  <c r="J229" i="6"/>
  <c r="J190" i="6" s="1"/>
  <c r="Q225" i="6"/>
  <c r="R225" i="6" s="1"/>
  <c r="P225" i="6"/>
  <c r="O225" i="6"/>
  <c r="N225" i="6"/>
  <c r="L225" i="6"/>
  <c r="K225" i="6"/>
  <c r="N223" i="6"/>
  <c r="N210" i="6" s="1"/>
  <c r="K223" i="6"/>
  <c r="O222" i="6"/>
  <c r="P222" i="6" s="1"/>
  <c r="Q222" i="6" s="1"/>
  <c r="R222" i="6" s="1"/>
  <c r="N222" i="6"/>
  <c r="L222" i="6"/>
  <c r="K222" i="6"/>
  <c r="N221" i="6"/>
  <c r="K221" i="6"/>
  <c r="L221" i="6" s="1"/>
  <c r="L209" i="6" s="1"/>
  <c r="O220" i="6"/>
  <c r="P220" i="6" s="1"/>
  <c r="Q220" i="6" s="1"/>
  <c r="R220" i="6" s="1"/>
  <c r="S213" i="6"/>
  <c r="R213" i="6"/>
  <c r="Q213" i="6"/>
  <c r="P213" i="6"/>
  <c r="O213" i="6"/>
  <c r="N213" i="6"/>
  <c r="M213" i="6"/>
  <c r="M238" i="6" s="1"/>
  <c r="N238" i="6" s="1"/>
  <c r="O238" i="6" s="1"/>
  <c r="L213" i="6"/>
  <c r="K213" i="6"/>
  <c r="K238" i="6" s="1"/>
  <c r="J213" i="6"/>
  <c r="J238" i="6" s="1"/>
  <c r="S211" i="6"/>
  <c r="R211" i="6"/>
  <c r="S205" i="6" s="1"/>
  <c r="Q211" i="6"/>
  <c r="P211" i="6"/>
  <c r="O211" i="6"/>
  <c r="N211" i="6"/>
  <c r="N205" i="6" s="1"/>
  <c r="M211" i="6"/>
  <c r="L211" i="6"/>
  <c r="K211" i="6"/>
  <c r="J211" i="6"/>
  <c r="J205" i="6" s="1"/>
  <c r="S210" i="6"/>
  <c r="M210" i="6"/>
  <c r="J210" i="6"/>
  <c r="S209" i="6"/>
  <c r="M209" i="6"/>
  <c r="K209" i="6"/>
  <c r="J209" i="6"/>
  <c r="J207" i="6" s="1"/>
  <c r="S208" i="6"/>
  <c r="R208" i="6"/>
  <c r="O208" i="6"/>
  <c r="O202" i="6" s="1"/>
  <c r="N208" i="6"/>
  <c r="N202" i="6" s="1"/>
  <c r="M208" i="6"/>
  <c r="L208" i="6"/>
  <c r="M202" i="6" s="1"/>
  <c r="K208" i="6"/>
  <c r="J208" i="6"/>
  <c r="S207" i="6"/>
  <c r="Q205" i="6"/>
  <c r="M205" i="6"/>
  <c r="L205" i="6"/>
  <c r="N204" i="6"/>
  <c r="J204" i="6"/>
  <c r="J203" i="6"/>
  <c r="S202" i="6"/>
  <c r="K202" i="6"/>
  <c r="J202" i="6"/>
  <c r="O174" i="6"/>
  <c r="P174" i="6" s="1"/>
  <c r="Q174" i="6" s="1"/>
  <c r="R174" i="6" s="1"/>
  <c r="N174" i="6"/>
  <c r="L174" i="6"/>
  <c r="K174" i="6"/>
  <c r="P173" i="6"/>
  <c r="Q173" i="6" s="1"/>
  <c r="R173" i="6" s="1"/>
  <c r="S173" i="6" s="1"/>
  <c r="O173" i="6"/>
  <c r="V172" i="6"/>
  <c r="R172" i="6"/>
  <c r="S172" i="6" s="1"/>
  <c r="W172" i="6" s="1"/>
  <c r="P172" i="6"/>
  <c r="Q172" i="6" s="1"/>
  <c r="O172" i="6"/>
  <c r="N172" i="6"/>
  <c r="K172" i="6"/>
  <c r="N169" i="6"/>
  <c r="M169" i="6"/>
  <c r="M170" i="6" s="1"/>
  <c r="N170" i="6" s="1"/>
  <c r="O170" i="6" s="1"/>
  <c r="P170" i="6" s="1"/>
  <c r="Q170" i="6" s="1"/>
  <c r="R170" i="6" s="1"/>
  <c r="S170" i="6" s="1"/>
  <c r="L169" i="6"/>
  <c r="K169" i="6"/>
  <c r="K170" i="6" s="1"/>
  <c r="V167" i="6"/>
  <c r="M167" i="6"/>
  <c r="J167" i="6"/>
  <c r="J165" i="6"/>
  <c r="J163" i="6"/>
  <c r="J18" i="6" s="1"/>
  <c r="Q157" i="6"/>
  <c r="P157" i="6"/>
  <c r="O157" i="6"/>
  <c r="N157" i="6"/>
  <c r="W154" i="6"/>
  <c r="V154" i="6"/>
  <c r="N154" i="6"/>
  <c r="O154" i="6" s="1"/>
  <c r="P154" i="6" s="1"/>
  <c r="Q154" i="6" s="1"/>
  <c r="R154" i="6" s="1"/>
  <c r="W151" i="6"/>
  <c r="V151" i="6"/>
  <c r="R149" i="6"/>
  <c r="R147" i="6"/>
  <c r="S147" i="6" s="1"/>
  <c r="Q147" i="6"/>
  <c r="O147" i="6"/>
  <c r="V146" i="6"/>
  <c r="N146" i="6"/>
  <c r="M144" i="6"/>
  <c r="V144" i="6" s="1"/>
  <c r="V142" i="6"/>
  <c r="M142" i="6"/>
  <c r="M140" i="6"/>
  <c r="V140" i="6" s="1"/>
  <c r="L133" i="6"/>
  <c r="W122" i="6"/>
  <c r="V122" i="6"/>
  <c r="O122" i="6"/>
  <c r="P122" i="6" s="1"/>
  <c r="Q122" i="6" s="1"/>
  <c r="R122" i="6" s="1"/>
  <c r="N122" i="6"/>
  <c r="O120" i="6"/>
  <c r="P120" i="6" s="1"/>
  <c r="Q120" i="6" s="1"/>
  <c r="R120" i="6" s="1"/>
  <c r="V118" i="6"/>
  <c r="M118" i="6"/>
  <c r="L118" i="6"/>
  <c r="L130" i="6" s="1"/>
  <c r="K118" i="6"/>
  <c r="K119" i="6" s="1"/>
  <c r="J118" i="6"/>
  <c r="M116" i="6"/>
  <c r="L116" i="6"/>
  <c r="J116" i="6"/>
  <c r="J113" i="6" s="1"/>
  <c r="J110" i="6" s="1"/>
  <c r="J106" i="6" s="1"/>
  <c r="J105" i="6" s="1"/>
  <c r="J17" i="6" s="1"/>
  <c r="N108" i="6"/>
  <c r="M108" i="6"/>
  <c r="L108" i="6"/>
  <c r="K108" i="6"/>
  <c r="J108" i="6"/>
  <c r="V107" i="6"/>
  <c r="L107" i="6"/>
  <c r="K107" i="6"/>
  <c r="J107" i="6"/>
  <c r="Q91" i="6"/>
  <c r="R91" i="6" s="1"/>
  <c r="O91" i="6"/>
  <c r="P91" i="6" s="1"/>
  <c r="N91" i="6"/>
  <c r="K91" i="6"/>
  <c r="L91" i="6" s="1"/>
  <c r="Q89" i="6"/>
  <c r="R89" i="6" s="1"/>
  <c r="S89" i="6" s="1"/>
  <c r="P89" i="6"/>
  <c r="N89" i="6"/>
  <c r="O89" i="6" s="1"/>
  <c r="M89" i="6"/>
  <c r="L89" i="6"/>
  <c r="K89" i="6"/>
  <c r="N88" i="6"/>
  <c r="O88" i="6" s="1"/>
  <c r="P88" i="6" s="1"/>
  <c r="Q88" i="6" s="1"/>
  <c r="R88" i="6" s="1"/>
  <c r="S88" i="6" s="1"/>
  <c r="N82" i="6"/>
  <c r="M82" i="6" s="1"/>
  <c r="S77" i="6"/>
  <c r="R77" i="6"/>
  <c r="Q77" i="6"/>
  <c r="N77" i="6"/>
  <c r="M77" i="6"/>
  <c r="P77" i="6" s="1"/>
  <c r="L77" i="6"/>
  <c r="K71" i="6" s="1"/>
  <c r="J71" i="6" s="1"/>
  <c r="K77" i="6"/>
  <c r="O76" i="6"/>
  <c r="N76" i="6"/>
  <c r="P70" i="6"/>
  <c r="Q70" i="6" s="1"/>
  <c r="R70" i="6" s="1"/>
  <c r="R76" i="6" s="1"/>
  <c r="O70" i="6"/>
  <c r="M70" i="6"/>
  <c r="L70" i="6"/>
  <c r="M43" i="6"/>
  <c r="L43" i="6"/>
  <c r="K43" i="6"/>
  <c r="M41" i="6"/>
  <c r="L41" i="6"/>
  <c r="K41" i="6"/>
  <c r="V36" i="6"/>
  <c r="K36" i="6"/>
  <c r="V35" i="6"/>
  <c r="V34" i="6"/>
  <c r="K34" i="6" s="1"/>
  <c r="V33" i="6"/>
  <c r="N33" i="6"/>
  <c r="K33" i="6"/>
  <c r="J33" i="6"/>
  <c r="S32" i="6"/>
  <c r="W32" i="6" s="1"/>
  <c r="L32" i="6" s="1"/>
  <c r="K32" i="6" s="1"/>
  <c r="K31" i="6"/>
  <c r="L39" i="6" s="1"/>
  <c r="M39" i="6" s="1"/>
  <c r="J31" i="6"/>
  <c r="K39" i="6" s="1"/>
  <c r="Q26" i="6"/>
  <c r="P26" i="6"/>
  <c r="O26" i="6"/>
  <c r="N26" i="6"/>
  <c r="M26" i="6"/>
  <c r="L26" i="6"/>
  <c r="K26" i="6"/>
  <c r="N25" i="6"/>
  <c r="Q11" i="6"/>
  <c r="R11" i="6" s="1"/>
  <c r="N11" i="6"/>
  <c r="O11" i="6" s="1"/>
  <c r="P11" i="6" s="1"/>
  <c r="K11" i="6"/>
  <c r="L11" i="6" s="1"/>
  <c r="K16" i="7" l="1"/>
  <c r="J16" i="7"/>
  <c r="J32" i="6"/>
  <c r="K40" i="6" s="1"/>
  <c r="K30" i="6"/>
  <c r="O205" i="6"/>
  <c r="P205" i="6"/>
  <c r="N41" i="6"/>
  <c r="O33" i="6"/>
  <c r="N39" i="6"/>
  <c r="O39" i="6" s="1"/>
  <c r="P39" i="6" s="1"/>
  <c r="Q39" i="6" s="1"/>
  <c r="R39" i="6" s="1"/>
  <c r="S39" i="6" s="1"/>
  <c r="M31" i="6"/>
  <c r="V249" i="6"/>
  <c r="M247" i="6"/>
  <c r="J34" i="6"/>
  <c r="K42" i="6" s="1"/>
  <c r="L42" i="6"/>
  <c r="M42" i="6" s="1"/>
  <c r="L82" i="6"/>
  <c r="M69" i="6"/>
  <c r="K191" i="6"/>
  <c r="K195" i="6" s="1"/>
  <c r="K248" i="6"/>
  <c r="L247" i="6"/>
  <c r="P319" i="6"/>
  <c r="Q319" i="6" s="1"/>
  <c r="R319" i="6" s="1"/>
  <c r="S319" i="6" s="1"/>
  <c r="L120" i="6"/>
  <c r="M113" i="6"/>
  <c r="O169" i="6"/>
  <c r="N167" i="6"/>
  <c r="N165" i="6" s="1"/>
  <c r="M203" i="6"/>
  <c r="L203" i="6"/>
  <c r="L238" i="6"/>
  <c r="L233" i="6"/>
  <c r="M236" i="6"/>
  <c r="L236" i="6"/>
  <c r="L280" i="6"/>
  <c r="L268" i="6" s="1"/>
  <c r="L271" i="6"/>
  <c r="M35" i="6"/>
  <c r="N35" i="6" s="1"/>
  <c r="O35" i="6" s="1"/>
  <c r="P35" i="6" s="1"/>
  <c r="Q35" i="6" s="1"/>
  <c r="R35" i="6" s="1"/>
  <c r="N43" i="6"/>
  <c r="O43" i="6" s="1"/>
  <c r="P43" i="6" s="1"/>
  <c r="Q43" i="6" s="1"/>
  <c r="R43" i="6" s="1"/>
  <c r="N235" i="6"/>
  <c r="M271" i="6"/>
  <c r="L44" i="6"/>
  <c r="M44" i="6" s="1"/>
  <c r="J36" i="6"/>
  <c r="K44" i="6" s="1"/>
  <c r="M21" i="6"/>
  <c r="M40" i="6"/>
  <c r="L40" i="6"/>
  <c r="L30" i="6"/>
  <c r="L38" i="6" s="1"/>
  <c r="M133" i="6"/>
  <c r="M132" i="6"/>
  <c r="M131" i="6"/>
  <c r="O235" i="6"/>
  <c r="P238" i="6"/>
  <c r="K190" i="6"/>
  <c r="K194" i="6" s="1"/>
  <c r="K230" i="6"/>
  <c r="N142" i="6"/>
  <c r="N140" i="6" s="1"/>
  <c r="N144" i="6"/>
  <c r="O274" i="6"/>
  <c r="O146" i="6"/>
  <c r="K205" i="6"/>
  <c r="O275" i="6"/>
  <c r="P275" i="6" s="1"/>
  <c r="Q275" i="6" s="1"/>
  <c r="R275" i="6" s="1"/>
  <c r="S275" i="6" s="1"/>
  <c r="L296" i="6"/>
  <c r="L299" i="6"/>
  <c r="N32" i="6"/>
  <c r="S70" i="6"/>
  <c r="S76" i="6" s="1"/>
  <c r="N158" i="6"/>
  <c r="L172" i="6"/>
  <c r="K173" i="6"/>
  <c r="J201" i="6"/>
  <c r="J199" i="6" s="1"/>
  <c r="J189" i="6" s="1"/>
  <c r="J187" i="6" s="1"/>
  <c r="J19" i="6" s="1"/>
  <c r="O251" i="6"/>
  <c r="P320" i="6"/>
  <c r="Q320" i="6" s="1"/>
  <c r="R320" i="6" s="1"/>
  <c r="S320" i="6" s="1"/>
  <c r="K207" i="6"/>
  <c r="K203" i="6"/>
  <c r="K201" i="6" s="1"/>
  <c r="K199" i="6" s="1"/>
  <c r="K116" i="6"/>
  <c r="J268" i="6"/>
  <c r="J265" i="6" s="1"/>
  <c r="J264" i="6" s="1"/>
  <c r="J20" i="6" s="1"/>
  <c r="N272" i="6"/>
  <c r="N270" i="6" s="1"/>
  <c r="K299" i="6"/>
  <c r="P253" i="6"/>
  <c r="K271" i="6"/>
  <c r="J280" i="6"/>
  <c r="P76" i="6"/>
  <c r="L119" i="6"/>
  <c r="L223" i="6"/>
  <c r="L210" i="6" s="1"/>
  <c r="L204" i="6" s="1"/>
  <c r="K210" i="6"/>
  <c r="K204" i="6" s="1"/>
  <c r="K280" i="6"/>
  <c r="K268" i="6" s="1"/>
  <c r="N286" i="6"/>
  <c r="O286" i="6" s="1"/>
  <c r="P286" i="6" s="1"/>
  <c r="Q286" i="6" s="1"/>
  <c r="R286" i="6" s="1"/>
  <c r="K325" i="6"/>
  <c r="Q76" i="6"/>
  <c r="N69" i="6"/>
  <c r="N68" i="6" s="1"/>
  <c r="O82" i="6"/>
  <c r="M119" i="6"/>
  <c r="N119" i="6" s="1"/>
  <c r="K167" i="6"/>
  <c r="K165" i="6" s="1"/>
  <c r="M280" i="6"/>
  <c r="M268" i="6" s="1"/>
  <c r="K70" i="6"/>
  <c r="V116" i="6"/>
  <c r="L170" i="6"/>
  <c r="P208" i="6"/>
  <c r="M207" i="6"/>
  <c r="O223" i="6"/>
  <c r="N325" i="6"/>
  <c r="O277" i="6"/>
  <c r="P278" i="6"/>
  <c r="Q278" i="6" s="1"/>
  <c r="R278" i="6" s="1"/>
  <c r="S278" i="6" s="1"/>
  <c r="M76" i="6"/>
  <c r="N207" i="6"/>
  <c r="Q208" i="6"/>
  <c r="N209" i="6"/>
  <c r="N203" i="6" s="1"/>
  <c r="N201" i="6" s="1"/>
  <c r="N199" i="6" s="1"/>
  <c r="O221" i="6"/>
  <c r="N301" i="6"/>
  <c r="O302" i="6"/>
  <c r="P302" i="6" s="1"/>
  <c r="Q302" i="6" s="1"/>
  <c r="R302" i="6" s="1"/>
  <c r="S302" i="6" s="1"/>
  <c r="S233" i="6"/>
  <c r="N251" i="6"/>
  <c r="N249" i="6" s="1"/>
  <c r="N247" i="6" s="1"/>
  <c r="M299" i="6"/>
  <c r="N299" i="6" s="1"/>
  <c r="O299" i="6" s="1"/>
  <c r="P299" i="6" s="1"/>
  <c r="Q299" i="6" s="1"/>
  <c r="R299" i="6" s="1"/>
  <c r="S299" i="6" s="1"/>
  <c r="O341" i="6"/>
  <c r="P341" i="6" s="1"/>
  <c r="Q341" i="6" s="1"/>
  <c r="R341" i="6" s="1"/>
  <c r="L202" i="6"/>
  <c r="L201" i="6" s="1"/>
  <c r="L199" i="6" s="1"/>
  <c r="R205" i="6"/>
  <c r="N254" i="6"/>
  <c r="P339" i="6"/>
  <c r="O77" i="6"/>
  <c r="L320" i="6"/>
  <c r="J19" i="7" l="1"/>
  <c r="J18" i="7"/>
  <c r="J17" i="7"/>
  <c r="L5" i="7"/>
  <c r="N22" i="7"/>
  <c r="L22" i="7"/>
  <c r="J20" i="7"/>
  <c r="J22" i="7"/>
  <c r="J21" i="7"/>
  <c r="M265" i="6"/>
  <c r="M269" i="6"/>
  <c r="K265" i="6"/>
  <c r="K264" i="6" s="1"/>
  <c r="K20" i="6" s="1"/>
  <c r="K269" i="6"/>
  <c r="K200" i="6"/>
  <c r="K189" i="6"/>
  <c r="L265" i="6"/>
  <c r="L264" i="6" s="1"/>
  <c r="L20" i="6" s="1"/>
  <c r="L269" i="6"/>
  <c r="Q202" i="6"/>
  <c r="R202" i="6"/>
  <c r="J70" i="6"/>
  <c r="K76" i="6" s="1"/>
  <c r="L173" i="6"/>
  <c r="M173" i="6"/>
  <c r="P169" i="6"/>
  <c r="O167" i="6"/>
  <c r="O165" i="6" s="1"/>
  <c r="M191" i="6"/>
  <c r="V247" i="6"/>
  <c r="M248" i="6"/>
  <c r="L76" i="6"/>
  <c r="L167" i="6"/>
  <c r="N141" i="6"/>
  <c r="N107" i="6"/>
  <c r="M110" i="6"/>
  <c r="V113" i="6"/>
  <c r="K113" i="6"/>
  <c r="L113" i="6"/>
  <c r="P277" i="6"/>
  <c r="Q277" i="6" s="1"/>
  <c r="R277" i="6" s="1"/>
  <c r="S277" i="6" s="1"/>
  <c r="M231" i="6"/>
  <c r="L231" i="6"/>
  <c r="N248" i="6"/>
  <c r="N191" i="6"/>
  <c r="N195" i="6" s="1"/>
  <c r="O337" i="6"/>
  <c r="O108" i="6" s="1"/>
  <c r="K163" i="6"/>
  <c r="K166" i="6"/>
  <c r="L189" i="6"/>
  <c r="L200" i="6"/>
  <c r="O32" i="6"/>
  <c r="N40" i="6"/>
  <c r="V31" i="6"/>
  <c r="N31" i="6"/>
  <c r="M30" i="6"/>
  <c r="N317" i="6"/>
  <c r="N315" i="6" s="1"/>
  <c r="N313" i="6" s="1"/>
  <c r="N311" i="6" s="1"/>
  <c r="N21" i="6" s="1"/>
  <c r="O325" i="6"/>
  <c r="N44" i="6"/>
  <c r="O44" i="6" s="1"/>
  <c r="P44" i="6" s="1"/>
  <c r="Q44" i="6" s="1"/>
  <c r="R44" i="6" s="1"/>
  <c r="S44" i="6" s="1"/>
  <c r="M36" i="6"/>
  <c r="O119" i="6"/>
  <c r="P119" i="6" s="1"/>
  <c r="Q119" i="6" s="1"/>
  <c r="R119" i="6" s="1"/>
  <c r="S119" i="6" s="1"/>
  <c r="N118" i="6"/>
  <c r="M294" i="6"/>
  <c r="M292" i="6" s="1"/>
  <c r="L294" i="6"/>
  <c r="L292" i="6" s="1"/>
  <c r="L266" i="6" s="1"/>
  <c r="P254" i="6"/>
  <c r="Q253" i="6"/>
  <c r="P251" i="6"/>
  <c r="P249" i="6" s="1"/>
  <c r="P247" i="6" s="1"/>
  <c r="M68" i="6"/>
  <c r="M75" i="6"/>
  <c r="N75" i="6" s="1"/>
  <c r="O75" i="6" s="1"/>
  <c r="P75" i="6" s="1"/>
  <c r="Q75" i="6" s="1"/>
  <c r="R75" i="6" s="1"/>
  <c r="S75" i="6" s="1"/>
  <c r="O301" i="6"/>
  <c r="P301" i="6" s="1"/>
  <c r="Q301" i="6" s="1"/>
  <c r="R301" i="6" s="1"/>
  <c r="S301" i="6" s="1"/>
  <c r="N233" i="6"/>
  <c r="N231" i="6" s="1"/>
  <c r="N236" i="6"/>
  <c r="L207" i="6"/>
  <c r="O209" i="6"/>
  <c r="P221" i="6"/>
  <c r="P202" i="6"/>
  <c r="O249" i="6"/>
  <c r="O247" i="6" s="1"/>
  <c r="S42" i="6"/>
  <c r="S43" i="6"/>
  <c r="S35" i="6" s="1"/>
  <c r="W35" i="6" s="1"/>
  <c r="K38" i="6"/>
  <c r="P235" i="6"/>
  <c r="Q238" i="6"/>
  <c r="L248" i="6"/>
  <c r="L191" i="6"/>
  <c r="L195" i="6" s="1"/>
  <c r="O233" i="6"/>
  <c r="O231" i="6" s="1"/>
  <c r="O236" i="6"/>
  <c r="O41" i="6"/>
  <c r="P33" i="6"/>
  <c r="O210" i="6"/>
  <c r="O204" i="6" s="1"/>
  <c r="P223" i="6"/>
  <c r="M204" i="6"/>
  <c r="M201" i="6" s="1"/>
  <c r="M199" i="6" s="1"/>
  <c r="O69" i="6"/>
  <c r="O68" i="6" s="1"/>
  <c r="P82" i="6"/>
  <c r="N66" i="6"/>
  <c r="N298" i="6"/>
  <c r="L69" i="6"/>
  <c r="K82" i="6"/>
  <c r="N189" i="6"/>
  <c r="J325" i="6"/>
  <c r="J317" i="6" s="1"/>
  <c r="J315" i="6" s="1"/>
  <c r="J313" i="6" s="1"/>
  <c r="J311" i="6" s="1"/>
  <c r="K317" i="6"/>
  <c r="K315" i="6" s="1"/>
  <c r="O144" i="6"/>
  <c r="P146" i="6"/>
  <c r="O142" i="6"/>
  <c r="O140" i="6" s="1"/>
  <c r="M34" i="6"/>
  <c r="N42" i="6"/>
  <c r="O42" i="6" s="1"/>
  <c r="P42" i="6" s="1"/>
  <c r="Q42" i="6" s="1"/>
  <c r="R42" i="6" s="1"/>
  <c r="P337" i="6"/>
  <c r="P108" i="6" s="1"/>
  <c r="Q339" i="6"/>
  <c r="N271" i="6"/>
  <c r="N280" i="6"/>
  <c r="N268" i="6" s="1"/>
  <c r="P274" i="6"/>
  <c r="O272" i="6"/>
  <c r="O270" i="6" s="1"/>
  <c r="N163" i="6"/>
  <c r="V32" i="6"/>
  <c r="J30" i="6"/>
  <c r="N265" i="6" l="1"/>
  <c r="N269" i="6"/>
  <c r="M200" i="6"/>
  <c r="M189" i="6"/>
  <c r="N200" i="6"/>
  <c r="O280" i="6"/>
  <c r="O271" i="6"/>
  <c r="O268" i="6"/>
  <c r="M74" i="6"/>
  <c r="M66" i="6"/>
  <c r="N64" i="6" s="1"/>
  <c r="N60" i="6" s="1"/>
  <c r="Q274" i="6"/>
  <c r="P272" i="6"/>
  <c r="P270" i="6" s="1"/>
  <c r="K313" i="6"/>
  <c r="K311" i="6" s="1"/>
  <c r="K21" i="6" s="1"/>
  <c r="L313" i="6"/>
  <c r="L311" i="6" s="1"/>
  <c r="L21" i="6" s="1"/>
  <c r="P210" i="6"/>
  <c r="P204" i="6" s="1"/>
  <c r="Q223" i="6"/>
  <c r="P248" i="6"/>
  <c r="P191" i="6"/>
  <c r="P195" i="6" s="1"/>
  <c r="V30" i="6"/>
  <c r="M38" i="6"/>
  <c r="L232" i="6"/>
  <c r="L229" i="6"/>
  <c r="N18" i="6"/>
  <c r="O248" i="6"/>
  <c r="O191" i="6"/>
  <c r="O195" i="6" s="1"/>
  <c r="P144" i="6"/>
  <c r="P142" i="6"/>
  <c r="P140" i="6" s="1"/>
  <c r="Q146" i="6"/>
  <c r="O317" i="6"/>
  <c r="O315" i="6" s="1"/>
  <c r="O313" i="6" s="1"/>
  <c r="O311" i="6" s="1"/>
  <c r="O21" i="6" s="1"/>
  <c r="P325" i="6"/>
  <c r="Q254" i="6"/>
  <c r="Q251" i="6"/>
  <c r="Q249" i="6" s="1"/>
  <c r="Q247" i="6" s="1"/>
  <c r="R253" i="6"/>
  <c r="P41" i="6"/>
  <c r="Q33" i="6"/>
  <c r="K193" i="6"/>
  <c r="K187" i="6"/>
  <c r="J21" i="6"/>
  <c r="V21" i="6" s="1"/>
  <c r="V311" i="6"/>
  <c r="O31" i="6"/>
  <c r="N30" i="6"/>
  <c r="N38" i="6" s="1"/>
  <c r="L110" i="6"/>
  <c r="L114" i="6"/>
  <c r="Q337" i="6"/>
  <c r="Q108" i="6" s="1"/>
  <c r="R339" i="6"/>
  <c r="M266" i="6"/>
  <c r="V266" i="6" s="1"/>
  <c r="V292" i="6"/>
  <c r="K114" i="6"/>
  <c r="K110" i="6"/>
  <c r="L68" i="6"/>
  <c r="O203" i="6"/>
  <c r="O201" i="6" s="1"/>
  <c r="O199" i="6" s="1"/>
  <c r="O207" i="6"/>
  <c r="P167" i="6"/>
  <c r="P165" i="6" s="1"/>
  <c r="Q169" i="6"/>
  <c r="N34" i="6"/>
  <c r="O34" i="6" s="1"/>
  <c r="P34" i="6" s="1"/>
  <c r="Q34" i="6" s="1"/>
  <c r="R34" i="6" s="1"/>
  <c r="S34" i="6" s="1"/>
  <c r="W34" i="6" s="1"/>
  <c r="N74" i="6"/>
  <c r="Q235" i="6"/>
  <c r="R238" i="6"/>
  <c r="R235" i="6" s="1"/>
  <c r="N229" i="6"/>
  <c r="N232" i="6"/>
  <c r="N36" i="6"/>
  <c r="O36" i="6" s="1"/>
  <c r="P36" i="6" s="1"/>
  <c r="Q36" i="6" s="1"/>
  <c r="R36" i="6" s="1"/>
  <c r="S36" i="6" s="1"/>
  <c r="W36" i="6" s="1"/>
  <c r="K18" i="6"/>
  <c r="K164" i="6"/>
  <c r="O74" i="6"/>
  <c r="O66" i="6"/>
  <c r="O64" i="6" s="1"/>
  <c r="O60" i="6" s="1"/>
  <c r="L165" i="6"/>
  <c r="M165" i="6"/>
  <c r="M232" i="6"/>
  <c r="M229" i="6"/>
  <c r="N193" i="6"/>
  <c r="V191" i="6"/>
  <c r="M195" i="6"/>
  <c r="K69" i="6"/>
  <c r="L75" i="6" s="1"/>
  <c r="J82" i="6"/>
  <c r="J69" i="6" s="1"/>
  <c r="J68" i="6" s="1"/>
  <c r="J66" i="6" s="1"/>
  <c r="J64" i="6" s="1"/>
  <c r="J60" i="6" s="1"/>
  <c r="J16" i="6" s="1"/>
  <c r="J15" i="6" s="1"/>
  <c r="J8" i="6" s="1"/>
  <c r="J7" i="6" s="1"/>
  <c r="J9" i="6" s="1"/>
  <c r="Q221" i="6"/>
  <c r="P209" i="6"/>
  <c r="O40" i="6"/>
  <c r="P32" i="6"/>
  <c r="O166" i="6"/>
  <c r="O163" i="6"/>
  <c r="O229" i="6"/>
  <c r="O232" i="6"/>
  <c r="N116" i="6"/>
  <c r="N113" i="6" s="1"/>
  <c r="O118" i="6"/>
  <c r="M114" i="6"/>
  <c r="N296" i="6"/>
  <c r="N294" i="6" s="1"/>
  <c r="N292" i="6" s="1"/>
  <c r="N266" i="6" s="1"/>
  <c r="O298" i="6"/>
  <c r="L193" i="6"/>
  <c r="V110" i="6"/>
  <c r="M106" i="6"/>
  <c r="O141" i="6"/>
  <c r="O107" i="6"/>
  <c r="O158" i="6"/>
  <c r="Q82" i="6"/>
  <c r="P69" i="6"/>
  <c r="P68" i="6" s="1"/>
  <c r="P233" i="6"/>
  <c r="P231" i="6" s="1"/>
  <c r="P236" i="6"/>
  <c r="M264" i="6"/>
  <c r="V265" i="6"/>
  <c r="N16" i="6" l="1"/>
  <c r="O61" i="6"/>
  <c r="O16" i="6"/>
  <c r="L111" i="6"/>
  <c r="L106" i="6"/>
  <c r="L105" i="6" s="1"/>
  <c r="L17" i="6" s="1"/>
  <c r="P229" i="6"/>
  <c r="P232" i="6"/>
  <c r="P40" i="6"/>
  <c r="Q32" i="6"/>
  <c r="M166" i="6"/>
  <c r="M163" i="6"/>
  <c r="V165" i="6"/>
  <c r="N166" i="6"/>
  <c r="S254" i="6"/>
  <c r="R254" i="6"/>
  <c r="R251" i="6"/>
  <c r="P280" i="6"/>
  <c r="P271" i="6"/>
  <c r="P268" i="6"/>
  <c r="V264" i="6"/>
  <c r="M20" i="6"/>
  <c r="V20" i="6" s="1"/>
  <c r="L166" i="6"/>
  <c r="L163" i="6"/>
  <c r="R169" i="6"/>
  <c r="Q167" i="6"/>
  <c r="Q165" i="6" s="1"/>
  <c r="Q248" i="6"/>
  <c r="Q191" i="6"/>
  <c r="Q195" i="6" s="1"/>
  <c r="R274" i="6"/>
  <c r="Q272" i="6"/>
  <c r="Q270" i="6" s="1"/>
  <c r="P163" i="6"/>
  <c r="P166" i="6"/>
  <c r="L230" i="6"/>
  <c r="L190" i="6"/>
  <c r="O296" i="6"/>
  <c r="O294" i="6" s="1"/>
  <c r="O292" i="6" s="1"/>
  <c r="O266" i="6" s="1"/>
  <c r="P298" i="6"/>
  <c r="P74" i="6"/>
  <c r="P66" i="6"/>
  <c r="P64" i="6" s="1"/>
  <c r="P60" i="6" s="1"/>
  <c r="O189" i="6"/>
  <c r="O200" i="6"/>
  <c r="O269" i="6"/>
  <c r="O265" i="6"/>
  <c r="P141" i="6"/>
  <c r="P107" i="6"/>
  <c r="P158" i="6"/>
  <c r="N114" i="6"/>
  <c r="N110" i="6"/>
  <c r="Q210" i="6"/>
  <c r="Q204" i="6" s="1"/>
  <c r="R223" i="6"/>
  <c r="R210" i="6" s="1"/>
  <c r="V189" i="6"/>
  <c r="M193" i="6"/>
  <c r="M64" i="6"/>
  <c r="Q209" i="6"/>
  <c r="R221" i="6"/>
  <c r="R209" i="6" s="1"/>
  <c r="P317" i="6"/>
  <c r="P315" i="6" s="1"/>
  <c r="P313" i="6" s="1"/>
  <c r="P311" i="6" s="1"/>
  <c r="P21" i="6" s="1"/>
  <c r="Q325" i="6"/>
  <c r="Q144" i="6"/>
  <c r="R146" i="6"/>
  <c r="Q142" i="6"/>
  <c r="Q140" i="6" s="1"/>
  <c r="L66" i="6"/>
  <c r="P203" i="6"/>
  <c r="P201" i="6" s="1"/>
  <c r="P199" i="6" s="1"/>
  <c r="P207" i="6"/>
  <c r="R82" i="6"/>
  <c r="Q69" i="6"/>
  <c r="Q68" i="6" s="1"/>
  <c r="K75" i="6"/>
  <c r="K68" i="6"/>
  <c r="P31" i="6"/>
  <c r="O30" i="6"/>
  <c r="O38" i="6" s="1"/>
  <c r="P118" i="6"/>
  <c r="O116" i="6"/>
  <c r="O113" i="6" s="1"/>
  <c r="K111" i="6"/>
  <c r="K106" i="6"/>
  <c r="K105" i="6" s="1"/>
  <c r="K17" i="6" s="1"/>
  <c r="N230" i="6"/>
  <c r="N190" i="6"/>
  <c r="K188" i="6"/>
  <c r="K19" i="6"/>
  <c r="V106" i="6"/>
  <c r="M105" i="6"/>
  <c r="O230" i="6"/>
  <c r="O190" i="6"/>
  <c r="O194" i="6" s="1"/>
  <c r="R236" i="6"/>
  <c r="R233" i="6"/>
  <c r="S236" i="6"/>
  <c r="O18" i="6"/>
  <c r="O164" i="6"/>
  <c r="M190" i="6"/>
  <c r="M230" i="6"/>
  <c r="Q233" i="6"/>
  <c r="Q231" i="6" s="1"/>
  <c r="Q236" i="6"/>
  <c r="Q41" i="6"/>
  <c r="R33" i="6"/>
  <c r="M111" i="6"/>
  <c r="S339" i="6"/>
  <c r="R337" i="6"/>
  <c r="N264" i="6"/>
  <c r="N20" i="6" s="1"/>
  <c r="Q107" i="6" l="1"/>
  <c r="Q141" i="6"/>
  <c r="Q158" i="6"/>
  <c r="L194" i="6"/>
  <c r="L187" i="6"/>
  <c r="Q40" i="6"/>
  <c r="R32" i="6"/>
  <c r="R231" i="6"/>
  <c r="S231" i="6"/>
  <c r="V163" i="6"/>
  <c r="M164" i="6"/>
  <c r="M18" i="6"/>
  <c r="V18" i="6" s="1"/>
  <c r="N164" i="6"/>
  <c r="O110" i="6"/>
  <c r="O114" i="6"/>
  <c r="P296" i="6"/>
  <c r="P294" i="6" s="1"/>
  <c r="P292" i="6" s="1"/>
  <c r="P266" i="6" s="1"/>
  <c r="Q298" i="6"/>
  <c r="S337" i="6"/>
  <c r="W339" i="6"/>
  <c r="N111" i="6"/>
  <c r="N106" i="6"/>
  <c r="N105" i="6" s="1"/>
  <c r="N17" i="6" s="1"/>
  <c r="R203" i="6"/>
  <c r="R201" i="6" s="1"/>
  <c r="R199" i="6" s="1"/>
  <c r="S203" i="6"/>
  <c r="S201" i="6" s="1"/>
  <c r="S199" i="6" s="1"/>
  <c r="R207" i="6"/>
  <c r="P164" i="6"/>
  <c r="P18" i="6"/>
  <c r="Q229" i="6"/>
  <c r="Q232" i="6"/>
  <c r="Q203" i="6"/>
  <c r="Q201" i="6" s="1"/>
  <c r="Q199" i="6" s="1"/>
  <c r="Q207" i="6"/>
  <c r="N194" i="6"/>
  <c r="N187" i="6"/>
  <c r="R338" i="6"/>
  <c r="R108" i="6"/>
  <c r="L164" i="6"/>
  <c r="L18" i="6"/>
  <c r="P116" i="6"/>
  <c r="P113" i="6" s="1"/>
  <c r="Q118" i="6"/>
  <c r="R41" i="6"/>
  <c r="S33" i="6"/>
  <c r="Q317" i="6"/>
  <c r="Q315" i="6" s="1"/>
  <c r="Q313" i="6" s="1"/>
  <c r="Q311" i="6" s="1"/>
  <c r="Q21" i="6" s="1"/>
  <c r="X21" i="6" s="1"/>
  <c r="R325" i="6"/>
  <c r="K66" i="6"/>
  <c r="K64" i="6" s="1"/>
  <c r="K60" i="6" s="1"/>
  <c r="K74" i="6"/>
  <c r="P269" i="6"/>
  <c r="P265" i="6"/>
  <c r="P264" i="6" s="1"/>
  <c r="P20" i="6" s="1"/>
  <c r="Q66" i="6"/>
  <c r="Q64" i="6" s="1"/>
  <c r="Q60" i="6" s="1"/>
  <c r="Q74" i="6"/>
  <c r="O264" i="6"/>
  <c r="O20" i="6" s="1"/>
  <c r="S82" i="6"/>
  <c r="S69" i="6" s="1"/>
  <c r="S68" i="6" s="1"/>
  <c r="R69" i="6"/>
  <c r="R68" i="6" s="1"/>
  <c r="V64" i="6"/>
  <c r="M60" i="6"/>
  <c r="S274" i="6"/>
  <c r="S272" i="6" s="1"/>
  <c r="R272" i="6"/>
  <c r="R270" i="6" s="1"/>
  <c r="S249" i="6"/>
  <c r="R249" i="6"/>
  <c r="R247" i="6" s="1"/>
  <c r="V190" i="6"/>
  <c r="M194" i="6"/>
  <c r="P189" i="6"/>
  <c r="P200" i="6"/>
  <c r="M187" i="6"/>
  <c r="O187" i="6"/>
  <c r="O193" i="6"/>
  <c r="S146" i="6"/>
  <c r="R142" i="6"/>
  <c r="R140" i="6" s="1"/>
  <c r="R144" i="6"/>
  <c r="Q31" i="6"/>
  <c r="P30" i="6"/>
  <c r="P38" i="6" s="1"/>
  <c r="M17" i="6"/>
  <c r="V17" i="6" s="1"/>
  <c r="V105" i="6"/>
  <c r="P230" i="6"/>
  <c r="P190" i="6"/>
  <c r="P194" i="6" s="1"/>
  <c r="Q280" i="6"/>
  <c r="Q271" i="6"/>
  <c r="Q268" i="6"/>
  <c r="L74" i="6"/>
  <c r="P61" i="6"/>
  <c r="P16" i="6"/>
  <c r="Q163" i="6"/>
  <c r="Q166" i="6"/>
  <c r="L64" i="6"/>
  <c r="L60" i="6" s="1"/>
  <c r="R204" i="6"/>
  <c r="S204" i="6"/>
  <c r="S169" i="6"/>
  <c r="S167" i="6" s="1"/>
  <c r="R167" i="6"/>
  <c r="R165" i="6" s="1"/>
  <c r="L61" i="6" l="1"/>
  <c r="L16" i="6"/>
  <c r="Q61" i="6"/>
  <c r="Q16" i="6"/>
  <c r="S200" i="6"/>
  <c r="S189" i="6"/>
  <c r="R248" i="6"/>
  <c r="R191" i="6"/>
  <c r="R195" i="6" s="1"/>
  <c r="R280" i="6"/>
  <c r="R271" i="6"/>
  <c r="R268" i="6"/>
  <c r="S270" i="6"/>
  <c r="R74" i="6"/>
  <c r="R66" i="6"/>
  <c r="R64" i="6" s="1"/>
  <c r="R60" i="6" s="1"/>
  <c r="Q230" i="6"/>
  <c r="Q190" i="6"/>
  <c r="Q194" i="6" s="1"/>
  <c r="R200" i="6"/>
  <c r="R189" i="6"/>
  <c r="Q164" i="6"/>
  <c r="Q18" i="6"/>
  <c r="X18" i="6" s="1"/>
  <c r="Q30" i="6"/>
  <c r="Q38" i="6" s="1"/>
  <c r="R31" i="6"/>
  <c r="S232" i="6"/>
  <c r="S229" i="6"/>
  <c r="S247" i="6"/>
  <c r="W249" i="6"/>
  <c r="N19" i="6"/>
  <c r="N15" i="6" s="1"/>
  <c r="N188" i="6"/>
  <c r="R232" i="6"/>
  <c r="R229" i="6"/>
  <c r="R141" i="6"/>
  <c r="R107" i="6"/>
  <c r="K61" i="6"/>
  <c r="K16" i="6"/>
  <c r="K15" i="6" s="1"/>
  <c r="S40" i="6"/>
  <c r="R40" i="6"/>
  <c r="W146" i="6"/>
  <c r="S144" i="6"/>
  <c r="W144" i="6" s="1"/>
  <c r="S142" i="6"/>
  <c r="S325" i="6"/>
  <c r="S317" i="6" s="1"/>
  <c r="S315" i="6" s="1"/>
  <c r="R317" i="6"/>
  <c r="R315" i="6" s="1"/>
  <c r="R313" i="6" s="1"/>
  <c r="R311" i="6" s="1"/>
  <c r="R21" i="6" s="1"/>
  <c r="W337" i="6"/>
  <c r="S108" i="6"/>
  <c r="S338" i="6"/>
  <c r="Q269" i="6"/>
  <c r="Q265" i="6"/>
  <c r="Q264" i="6" s="1"/>
  <c r="Q20" i="6" s="1"/>
  <c r="X20" i="6" s="1"/>
  <c r="V60" i="6"/>
  <c r="M16" i="6"/>
  <c r="M61" i="6"/>
  <c r="N61" i="6"/>
  <c r="Q200" i="6"/>
  <c r="Q189" i="6"/>
  <c r="R298" i="6"/>
  <c r="Q296" i="6"/>
  <c r="Q294" i="6" s="1"/>
  <c r="Q292" i="6" s="1"/>
  <c r="Q266" i="6" s="1"/>
  <c r="L188" i="6"/>
  <c r="L19" i="6"/>
  <c r="O188" i="6"/>
  <c r="O19" i="6"/>
  <c r="W33" i="6"/>
  <c r="S41" i="6"/>
  <c r="R163" i="6"/>
  <c r="R166" i="6"/>
  <c r="V187" i="6"/>
  <c r="M188" i="6"/>
  <c r="M19" i="6"/>
  <c r="V19" i="6" s="1"/>
  <c r="W167" i="6"/>
  <c r="S165" i="6"/>
  <c r="S74" i="6"/>
  <c r="S66" i="6"/>
  <c r="S64" i="6" s="1"/>
  <c r="R118" i="6"/>
  <c r="Q116" i="6"/>
  <c r="Q113" i="6" s="1"/>
  <c r="O111" i="6"/>
  <c r="O106" i="6"/>
  <c r="O105" i="6" s="1"/>
  <c r="O17" i="6" s="1"/>
  <c r="P193" i="6"/>
  <c r="P187" i="6"/>
  <c r="P114" i="6"/>
  <c r="P110" i="6"/>
  <c r="N8" i="6" l="1"/>
  <c r="N7" i="6" s="1"/>
  <c r="N9" i="6" s="1"/>
  <c r="N24" i="6"/>
  <c r="R265" i="6"/>
  <c r="R264" i="6" s="1"/>
  <c r="R20" i="6" s="1"/>
  <c r="R269" i="6"/>
  <c r="S60" i="6"/>
  <c r="W64" i="6"/>
  <c r="S31" i="6"/>
  <c r="R30" i="6"/>
  <c r="R38" i="6" s="1"/>
  <c r="W165" i="6"/>
  <c r="S166" i="6"/>
  <c r="S163" i="6"/>
  <c r="S193" i="6"/>
  <c r="W189" i="6"/>
  <c r="K8" i="6"/>
  <c r="K7" i="6" s="1"/>
  <c r="K9" i="6" s="1"/>
  <c r="K24" i="6"/>
  <c r="S118" i="6"/>
  <c r="R116" i="6"/>
  <c r="R113" i="6" s="1"/>
  <c r="R230" i="6"/>
  <c r="R190" i="6"/>
  <c r="R194" i="6" s="1"/>
  <c r="R296" i="6"/>
  <c r="R294" i="6" s="1"/>
  <c r="R292" i="6" s="1"/>
  <c r="R266" i="6" s="1"/>
  <c r="S298" i="6"/>
  <c r="S296" i="6" s="1"/>
  <c r="S294" i="6" s="1"/>
  <c r="S292" i="6" s="1"/>
  <c r="S313" i="6"/>
  <c r="S311" i="6" s="1"/>
  <c r="P188" i="6"/>
  <c r="P19" i="6"/>
  <c r="W142" i="6"/>
  <c r="S140" i="6"/>
  <c r="X16" i="6"/>
  <c r="R164" i="6"/>
  <c r="R18" i="6"/>
  <c r="R61" i="6"/>
  <c r="R16" i="6"/>
  <c r="L15" i="6"/>
  <c r="P111" i="6"/>
  <c r="P106" i="6"/>
  <c r="P105" i="6" s="1"/>
  <c r="P17" i="6" s="1"/>
  <c r="P15" i="6" s="1"/>
  <c r="R193" i="6"/>
  <c r="R187" i="6"/>
  <c r="Q187" i="6"/>
  <c r="Q193" i="6"/>
  <c r="M15" i="6"/>
  <c r="V16" i="6"/>
  <c r="O15" i="6"/>
  <c r="S248" i="6"/>
  <c r="S191" i="6"/>
  <c r="W247" i="6"/>
  <c r="Q114" i="6"/>
  <c r="Q110" i="6"/>
  <c r="S230" i="6"/>
  <c r="S190" i="6"/>
  <c r="S280" i="6"/>
  <c r="S271" i="6"/>
  <c r="S268" i="6"/>
  <c r="M24" i="6" l="1"/>
  <c r="M8" i="6"/>
  <c r="M27" i="6"/>
  <c r="M14" i="6"/>
  <c r="V15" i="6"/>
  <c r="R110" i="6"/>
  <c r="R114" i="6"/>
  <c r="L24" i="6"/>
  <c r="L27" i="6"/>
  <c r="L8" i="6"/>
  <c r="L7" i="6" s="1"/>
  <c r="L9" i="6" s="1"/>
  <c r="S195" i="6"/>
  <c r="W191" i="6"/>
  <c r="W311" i="6"/>
  <c r="S21" i="6"/>
  <c r="W21" i="6" s="1"/>
  <c r="W163" i="6"/>
  <c r="S164" i="6"/>
  <c r="S18" i="6"/>
  <c r="W18" i="6" s="1"/>
  <c r="W292" i="6"/>
  <c r="S266" i="6"/>
  <c r="W266" i="6" s="1"/>
  <c r="O27" i="6"/>
  <c r="O24" i="6"/>
  <c r="O8" i="6"/>
  <c r="O7" i="6" s="1"/>
  <c r="O9" i="6" s="1"/>
  <c r="W31" i="6"/>
  <c r="S30" i="6"/>
  <c r="S130" i="6"/>
  <c r="W118" i="6"/>
  <c r="W60" i="6"/>
  <c r="S61" i="6"/>
  <c r="S16" i="6"/>
  <c r="S141" i="6"/>
  <c r="W140" i="6"/>
  <c r="S107" i="6"/>
  <c r="W107" i="6" s="1"/>
  <c r="W190" i="6"/>
  <c r="S194" i="6"/>
  <c r="R188" i="6"/>
  <c r="R19" i="6"/>
  <c r="N27" i="6"/>
  <c r="S269" i="6"/>
  <c r="S265" i="6"/>
  <c r="Q188" i="6"/>
  <c r="Q19" i="6"/>
  <c r="X19" i="6" s="1"/>
  <c r="Q111" i="6"/>
  <c r="Q106" i="6"/>
  <c r="Q105" i="6" s="1"/>
  <c r="Q17" i="6" s="1"/>
  <c r="P27" i="6"/>
  <c r="P8" i="6"/>
  <c r="P7" i="6" s="1"/>
  <c r="P9" i="6" s="1"/>
  <c r="P24" i="6"/>
  <c r="S187" i="6"/>
  <c r="X17" i="6" l="1"/>
  <c r="Q15" i="6"/>
  <c r="W16" i="6"/>
  <c r="R106" i="6"/>
  <c r="R105" i="6" s="1"/>
  <c r="R17" i="6" s="1"/>
  <c r="R15" i="6" s="1"/>
  <c r="R111" i="6"/>
  <c r="W265" i="6"/>
  <c r="S264" i="6"/>
  <c r="V8" i="6"/>
  <c r="M7" i="6"/>
  <c r="S19" i="6"/>
  <c r="W19" i="6" s="1"/>
  <c r="S188" i="6"/>
  <c r="W187" i="6"/>
  <c r="S133" i="6"/>
  <c r="S132" i="6"/>
  <c r="S131" i="6"/>
  <c r="S116" i="6" s="1"/>
  <c r="S38" i="6"/>
  <c r="W30" i="6"/>
  <c r="W264" i="6" l="1"/>
  <c r="S20" i="6"/>
  <c r="W20" i="6" s="1"/>
  <c r="R27" i="6"/>
  <c r="R8" i="6"/>
  <c r="R7" i="6" s="1"/>
  <c r="R9" i="6" s="1"/>
  <c r="W116" i="6"/>
  <c r="S113" i="6"/>
  <c r="S120" i="6"/>
  <c r="Q24" i="6"/>
  <c r="Q27" i="6"/>
  <c r="X15" i="6"/>
  <c r="Q8" i="6"/>
  <c r="Q7" i="6" s="1"/>
  <c r="Q9" i="6" s="1"/>
  <c r="V7" i="6"/>
  <c r="M9" i="6"/>
  <c r="V9" i="6" s="1"/>
  <c r="S114" i="6" l="1"/>
  <c r="S110" i="6"/>
  <c r="W113" i="6"/>
  <c r="S106" i="6" l="1"/>
  <c r="W110" i="6"/>
  <c r="S111" i="6"/>
  <c r="W106" i="6" l="1"/>
  <c r="S105" i="6"/>
  <c r="W105" i="6" l="1"/>
  <c r="S17" i="6"/>
  <c r="W17" i="6" l="1"/>
  <c r="S15" i="6"/>
  <c r="S27" i="6" l="1"/>
  <c r="S8" i="6"/>
  <c r="W15" i="6"/>
  <c r="W8" i="6" l="1"/>
  <c r="S7" i="6"/>
  <c r="W7" i="6" l="1"/>
  <c r="S9" i="6"/>
  <c r="W9" i="6" s="1"/>
</calcChain>
</file>

<file path=xl/sharedStrings.xml><?xml version="1.0" encoding="utf-8"?>
<sst xmlns="http://schemas.openxmlformats.org/spreadsheetml/2006/main" count="776" uniqueCount="408">
  <si>
    <t>Project [GJ]- Industry Overview Checklist</t>
  </si>
  <si>
    <t xml:space="preserve">* This is a framework for guidance only.  The Principal and the Deal Team can modify it according to the deal's characteristics. </t>
  </si>
  <si>
    <t>In any case, the Deal Team must carry out sufficient dd and keep proper record as required by the SFC Code of Conduct and HKEx PN21</t>
  </si>
  <si>
    <t>last update: Oct 2025</t>
  </si>
  <si>
    <t>&lt;A&gt;</t>
  </si>
  <si>
    <t>&lt;B&gt;</t>
  </si>
  <si>
    <t>&lt;C&gt;</t>
  </si>
  <si>
    <t>&lt;D&gt;</t>
  </si>
  <si>
    <t>&lt;E&gt;</t>
  </si>
  <si>
    <t>&lt;F&gt;</t>
  </si>
  <si>
    <t>&lt;G&gt;</t>
  </si>
  <si>
    <t xml:space="preserve">Review of 1) Independent Source of Info; and 
2) Info about the Listing Applicant contained in Industry Overview seciton </t>
  </si>
  <si>
    <t>Deal Team Member who carried out the Review</t>
  </si>
  <si>
    <t>Any Key Findings?</t>
  </si>
  <si>
    <t>If Yes, actions taken?</t>
  </si>
  <si>
    <t>Conclusion</t>
  </si>
  <si>
    <t>Supporting Info Filed?</t>
  </si>
  <si>
    <t xml:space="preserve">Others </t>
  </si>
  <si>
    <t>Economy Census, National Bureau of Statistics of China
(http://www.stats.gov.cn)</t>
  </si>
  <si>
    <t>[name of Deal Team member]</t>
  </si>
  <si>
    <t>Info are consistent</t>
  </si>
  <si>
    <t>N/A</t>
  </si>
  <si>
    <t>[Yes. Pls refer to proejct file in the server]</t>
  </si>
  <si>
    <t>National Health Commission
(https://www.nhc.gov.cn/)</t>
  </si>
  <si>
    <t>Ministry  of Education
(www.moe.gov.cn/jyb_sjzl)</t>
  </si>
  <si>
    <t>EastMoney.com</t>
  </si>
  <si>
    <t>Info to be verified</t>
  </si>
  <si>
    <t>Deal Team verified on Shanghai Stock Exchange Website (www.sse.com.cn/aboutus/publication/monthly/member/)</t>
  </si>
  <si>
    <t>No inconsistencies because the number provided in the news is factual</t>
  </si>
  <si>
    <t>NFRA Financial License Info (https://xkz.nfra.gov.cn/jr/)</t>
  </si>
  <si>
    <t>China Tourism Site Development Report,  Ministry of Culture and Tourism 
(https://www.ctaweb.org.cn/)</t>
  </si>
  <si>
    <t>Fujian Provincial Hospital RFP
(https://fjsl.com.cn/)</t>
  </si>
  <si>
    <t xml:space="preserve"> Ministry of Civil Affairs(https://www.gov.cn)</t>
  </si>
  <si>
    <t>Communication University of China RFP
(https://www.cuc.edu.cn/)</t>
  </si>
  <si>
    <t>China Association of Performing Arts
(https://www.capa.com.cn/)</t>
  </si>
  <si>
    <t>Ministry of Commerce
(https://dzsws.mofcom.gov.cn/)</t>
  </si>
  <si>
    <t>Business description of the Listing Applicant</t>
  </si>
  <si>
    <t>Info are consistent with the disclosure under "Summary"/ "Business"</t>
  </si>
  <si>
    <t>Revenue of the Listing Applicant</t>
  </si>
  <si>
    <t>Prepared by:</t>
  </si>
  <si>
    <t>Reviewed by:</t>
  </si>
  <si>
    <t>Name: [*]</t>
  </si>
  <si>
    <t>Title: [*]</t>
  </si>
  <si>
    <t>Title: [Principal/ RO]</t>
  </si>
  <si>
    <t>Date:</t>
  </si>
  <si>
    <t>Key in</t>
  </si>
  <si>
    <t>Assumption</t>
  </si>
  <si>
    <t>Calculation</t>
  </si>
  <si>
    <t>Crosstab</t>
  </si>
  <si>
    <r>
      <rPr>
        <sz val="10"/>
        <color theme="1"/>
        <rFont val="楷体"/>
        <family val="3"/>
        <charset val="134"/>
      </rPr>
      <t>需访谈确认数据</t>
    </r>
  </si>
  <si>
    <t>Base</t>
  </si>
  <si>
    <t>CAGR</t>
  </si>
  <si>
    <t>Unit</t>
  </si>
  <si>
    <t>2025E</t>
  </si>
  <si>
    <t>2026E</t>
  </si>
  <si>
    <t>2027E</t>
  </si>
  <si>
    <t>2028E</t>
  </si>
  <si>
    <t>2029E</t>
  </si>
  <si>
    <t>2030E</t>
  </si>
  <si>
    <t>21-24</t>
  </si>
  <si>
    <t>24-30E</t>
  </si>
  <si>
    <t>Source</t>
  </si>
  <si>
    <t>假设</t>
  </si>
  <si>
    <t>Output</t>
  </si>
  <si>
    <t>全球</t>
  </si>
  <si>
    <t>RMB Bn</t>
  </si>
  <si>
    <t>中国</t>
  </si>
  <si>
    <t>海外</t>
  </si>
  <si>
    <t>中国share</t>
  </si>
  <si>
    <t>%</t>
  </si>
  <si>
    <t>[</t>
  </si>
  <si>
    <r>
      <rPr>
        <b/>
        <sz val="10"/>
        <color theme="0"/>
        <rFont val="楷体"/>
        <family val="3"/>
        <charset val="134"/>
      </rPr>
      <t>中国数字人智能体市场</t>
    </r>
  </si>
  <si>
    <t>Check 24-28</t>
  </si>
  <si>
    <r>
      <rPr>
        <b/>
        <sz val="10"/>
        <color rgb="FF000000"/>
        <rFont val="楷体"/>
        <family val="3"/>
        <charset val="134"/>
      </rPr>
      <t>数字人智能体市场规模</t>
    </r>
  </si>
  <si>
    <r>
      <rPr>
        <sz val="10"/>
        <color theme="1"/>
        <rFont val="楷体"/>
        <family val="3"/>
        <charset val="134"/>
      </rPr>
      <t>金融</t>
    </r>
  </si>
  <si>
    <r>
      <rPr>
        <sz val="10"/>
        <color theme="1"/>
        <rFont val="楷体"/>
        <family val="3"/>
        <charset val="134"/>
      </rPr>
      <t>文娱</t>
    </r>
  </si>
  <si>
    <r>
      <rPr>
        <sz val="10"/>
        <color theme="1"/>
        <rFont val="楷体"/>
        <family val="3"/>
        <charset val="134"/>
      </rPr>
      <t>政务</t>
    </r>
  </si>
  <si>
    <r>
      <rPr>
        <sz val="10"/>
        <color theme="1"/>
        <rFont val="楷体"/>
        <family val="3"/>
        <charset val="134"/>
      </rPr>
      <t>医疗</t>
    </r>
  </si>
  <si>
    <r>
      <rPr>
        <sz val="10"/>
        <color theme="1"/>
        <rFont val="楷体"/>
        <family val="3"/>
        <charset val="134"/>
      </rPr>
      <t>教育</t>
    </r>
  </si>
  <si>
    <r>
      <rPr>
        <sz val="10"/>
        <color theme="1"/>
        <rFont val="楷体"/>
        <family val="3"/>
        <charset val="134"/>
      </rPr>
      <t>零售</t>
    </r>
  </si>
  <si>
    <t>GJ-收入</t>
  </si>
  <si>
    <t>人民币亿元</t>
  </si>
  <si>
    <t>Share</t>
  </si>
  <si>
    <t>Yoy</t>
  </si>
  <si>
    <r>
      <rPr>
        <b/>
        <sz val="10"/>
        <color rgb="FFFFFFFF"/>
        <rFont val="Arial"/>
        <family val="2"/>
      </rPr>
      <t>中国数字人智能体需求量</t>
    </r>
    <r>
      <rPr>
        <b/>
        <sz val="10"/>
        <color rgb="FFFFFFFF"/>
        <rFont val="Times New Roman"/>
        <family val="1"/>
      </rPr>
      <t>TAM</t>
    </r>
  </si>
  <si>
    <r>
      <rPr>
        <b/>
        <sz val="10"/>
        <color rgb="FF000000"/>
        <rFont val="楷体"/>
        <family val="3"/>
        <charset val="134"/>
      </rPr>
      <t>传统服务业人员保有量</t>
    </r>
  </si>
  <si>
    <t>Mn</t>
  </si>
  <si>
    <t>假设金融行业未来下降趋缓</t>
  </si>
  <si>
    <t>假设中国狭义公务员比例2030年与英美国家持平的，达到2%；这一趋势表明，我国人口增长已进入下行通道，如果按照2024年的人口减少数量计算，预计到2030年总人口将跌破14亿人。</t>
  </si>
  <si>
    <r>
      <rPr>
        <i/>
        <sz val="10"/>
        <color rgb="FF7F7F7F"/>
        <rFont val="楷体"/>
        <family val="3"/>
        <charset val="134"/>
      </rPr>
      <t>总计</t>
    </r>
  </si>
  <si>
    <r>
      <rPr>
        <i/>
        <sz val="10"/>
        <color rgb="FF7F7F7F"/>
        <rFont val="楷体"/>
        <family val="3"/>
        <charset val="134"/>
      </rPr>
      <t>金融</t>
    </r>
  </si>
  <si>
    <r>
      <rPr>
        <i/>
        <sz val="10"/>
        <color rgb="FF7F7F7F"/>
        <rFont val="楷体"/>
        <family val="3"/>
        <charset val="134"/>
      </rPr>
      <t>政务</t>
    </r>
  </si>
  <si>
    <r>
      <rPr>
        <i/>
        <sz val="10"/>
        <color rgb="FF7F7F7F"/>
        <rFont val="楷体"/>
        <family val="3"/>
        <charset val="134"/>
      </rPr>
      <t>教育</t>
    </r>
  </si>
  <si>
    <r>
      <rPr>
        <i/>
        <sz val="10"/>
        <color rgb="FF7F7F7F"/>
        <rFont val="楷体"/>
        <family val="3"/>
        <charset val="134"/>
      </rPr>
      <t>零售</t>
    </r>
  </si>
  <si>
    <r>
      <rPr>
        <i/>
        <sz val="10"/>
        <color rgb="FF7F7F7F"/>
        <rFont val="楷体"/>
        <family val="3"/>
        <charset val="134"/>
      </rPr>
      <t>医疗</t>
    </r>
  </si>
  <si>
    <r>
      <rPr>
        <i/>
        <sz val="10"/>
        <color rgb="FF7F7F7F"/>
        <rFont val="楷体"/>
        <family val="3"/>
        <charset val="134"/>
      </rPr>
      <t>文娱</t>
    </r>
  </si>
  <si>
    <t>注释：</t>
  </si>
  <si>
    <t>金融</t>
  </si>
  <si>
    <t>第五次经济普查：中国金融行业2023年末人数为1235.5；包含货币金融服务、资本市场服务、保险业、其他金融业态；　我国金融行业分为货币金融服务、资本市场服务、保险业、其他金融业4大类，货币金融服务主要就是银行业，包括商业银行、农信社等，央行以及银行监管部门也包含在内。2023年相较2018年累计下降32%</t>
  </si>
  <si>
    <t>第五次经济普查；第三次经济普查</t>
  </si>
  <si>
    <t>此处假设中国狭义公务员30年数量占总人口数辆的2.5%；中国的狭义公务员占总人口的比例低于国际发达国家水平，例如美国、英国等国家的公务员比例分别为2.9%和2.3%</t>
  </si>
  <si>
    <t>公开信息</t>
  </si>
  <si>
    <t>2024年，中国教育从业者（专任教师）数量为1885.10万人。这个数字包括了各级各类学校的专任教师，其中义务教育阶段的专任教师数量最多，为1073.89万人</t>
  </si>
  <si>
    <t>2023年末，全国共有批发和零售业企业法人单位[1]1019.7万个，从业人员5325.7万人，分别比2018年末增长56.9%和32.9%。</t>
  </si>
  <si>
    <t>根据《第四次全国经济普查公报》，截至2019年末，中国零售业共有295.7万个企业法人单位，从业人员总计1810.0万人</t>
  </si>
  <si>
    <t>2021-2024年全国教育事业发展统计公报</t>
  </si>
  <si>
    <t>2023年末，根据《中国卫生健康统计提要》，全国执业医师与注册护士总人数为964.7万人</t>
  </si>
  <si>
    <t>卫生健康统计纪要</t>
  </si>
  <si>
    <t>2023年末，根据《第五次全国经济普查公报》，全国文化体育娱乐业从业人员共792.9万人</t>
  </si>
  <si>
    <r>
      <rPr>
        <b/>
        <sz val="10"/>
        <color theme="0"/>
        <rFont val="楷体"/>
        <family val="3"/>
        <charset val="134"/>
      </rPr>
      <t>中国数字人智能体市场规模</t>
    </r>
  </si>
  <si>
    <r>
      <rPr>
        <b/>
        <sz val="10"/>
        <color theme="1"/>
        <rFont val="楷体"/>
        <family val="3"/>
        <charset val="134"/>
      </rPr>
      <t>金融</t>
    </r>
  </si>
  <si>
    <r>
      <rPr>
        <b/>
        <sz val="10"/>
        <color rgb="FF000000"/>
        <rFont val="楷体"/>
        <family val="3"/>
        <charset val="134"/>
      </rPr>
      <t>金融数字人市场规模</t>
    </r>
    <r>
      <rPr>
        <b/>
        <sz val="10"/>
        <color rgb="FF000000"/>
        <rFont val="Times New Roman"/>
        <family val="1"/>
      </rPr>
      <t>= 1.1a</t>
    </r>
    <r>
      <rPr>
        <b/>
        <sz val="10"/>
        <color rgb="FF000000"/>
        <rFont val="楷体"/>
        <family val="3"/>
        <charset val="134"/>
      </rPr>
      <t>新增金融机构数量</t>
    </r>
    <r>
      <rPr>
        <b/>
        <sz val="10"/>
        <color rgb="FF000000"/>
        <rFont val="Times New Roman"/>
        <family val="1"/>
      </rPr>
      <t xml:space="preserve"> *1.1c</t>
    </r>
    <r>
      <rPr>
        <b/>
        <sz val="10"/>
        <color rgb="FF000000"/>
        <rFont val="楷体"/>
        <family val="3"/>
        <charset val="134"/>
      </rPr>
      <t>单项目数字人支出单价</t>
    </r>
  </si>
  <si>
    <r>
      <rPr>
        <b/>
        <sz val="10"/>
        <color rgb="FF000000"/>
        <rFont val="楷体"/>
        <family val="3"/>
        <charset val="134"/>
      </rPr>
      <t>金融数字市场规模</t>
    </r>
  </si>
  <si>
    <t>RMB Mn</t>
  </si>
  <si>
    <t>注释：包含总部、分支机构、网点</t>
  </si>
  <si>
    <t>1.a</t>
  </si>
  <si>
    <r>
      <rPr>
        <b/>
        <sz val="10"/>
        <color rgb="FF000000"/>
        <rFont val="楷体"/>
        <family val="3"/>
        <charset val="134"/>
      </rPr>
      <t>数字人新渗透金融机构数量</t>
    </r>
  </si>
  <si>
    <t>000 unit</t>
  </si>
  <si>
    <t>1.b</t>
  </si>
  <si>
    <r>
      <rPr>
        <b/>
        <sz val="10"/>
        <color rgb="FF000000"/>
        <rFont val="楷体"/>
        <family val="3"/>
        <charset val="134"/>
      </rPr>
      <t>数字已渗透金融机构数量（保有量）</t>
    </r>
  </si>
  <si>
    <r>
      <rPr>
        <b/>
        <sz val="10"/>
        <color rgb="FF000000"/>
        <rFont val="楷体"/>
        <family val="3"/>
        <charset val="134"/>
      </rPr>
      <t>中国金融机构数量</t>
    </r>
  </si>
  <si>
    <r>
      <rPr>
        <sz val="10"/>
        <color rgb="FF000000"/>
        <rFont val="楷体"/>
        <family val="3"/>
        <charset val="134"/>
      </rPr>
      <t>银行</t>
    </r>
  </si>
  <si>
    <r>
      <rPr>
        <sz val="10"/>
        <color rgb="FF000000"/>
        <rFont val="楷体"/>
        <family val="3"/>
        <charset val="134"/>
      </rPr>
      <t>保险企业</t>
    </r>
  </si>
  <si>
    <r>
      <rPr>
        <sz val="10"/>
        <color rgb="FF000000"/>
        <rFont val="楷体"/>
        <family val="3"/>
        <charset val="134"/>
      </rPr>
      <t>证券</t>
    </r>
  </si>
  <si>
    <t>https://finance.eastmoney.com/a/202409063177658781.html</t>
  </si>
  <si>
    <t>总计</t>
  </si>
  <si>
    <r>
      <rPr>
        <i/>
        <sz val="10"/>
        <color rgb="FF434343"/>
        <rFont val="楷体"/>
        <family val="3"/>
        <charset val="134"/>
      </rPr>
      <t>银行</t>
    </r>
  </si>
  <si>
    <t>银行从业人员未来逐渐减少，假设网点数量同步减少</t>
  </si>
  <si>
    <r>
      <rPr>
        <i/>
        <sz val="10"/>
        <color rgb="FF434343"/>
        <rFont val="楷体"/>
        <family val="3"/>
        <charset val="134"/>
      </rPr>
      <t>保险企业</t>
    </r>
  </si>
  <si>
    <r>
      <rPr>
        <i/>
        <sz val="10"/>
        <color rgb="FF434343"/>
        <rFont val="楷体"/>
        <family val="3"/>
        <charset val="134"/>
      </rPr>
      <t>证券</t>
    </r>
  </si>
  <si>
    <t>中国金融保险网点数量测算</t>
  </si>
  <si>
    <t>中国银行网点数量测算</t>
  </si>
  <si>
    <t>https://xkz.nfra.gov.cn/jr/</t>
  </si>
  <si>
    <t>政策性银行</t>
  </si>
  <si>
    <t>商业银行</t>
  </si>
  <si>
    <t>农村信用社</t>
  </si>
  <si>
    <r>
      <rPr>
        <b/>
        <sz val="10"/>
        <color rgb="FF000000"/>
        <rFont val="楷体"/>
        <family val="3"/>
        <charset val="134"/>
      </rPr>
      <t>数字人渗透金融机构渗透率</t>
    </r>
  </si>
  <si>
    <t>渗透率增长</t>
  </si>
  <si>
    <t>1.c</t>
  </si>
  <si>
    <r>
      <rPr>
        <b/>
        <sz val="10"/>
        <color rgb="FF000000"/>
        <rFont val="楷体"/>
        <family val="3"/>
        <charset val="134"/>
      </rPr>
      <t>单机构数字人每年支出</t>
    </r>
  </si>
  <si>
    <t>000 RMB</t>
  </si>
  <si>
    <r>
      <rPr>
        <b/>
        <sz val="10"/>
        <color rgb="FF000000"/>
        <rFont val="楷体"/>
        <family val="3"/>
        <charset val="134"/>
      </rPr>
      <t>金融数字人案例分析</t>
    </r>
  </si>
  <si>
    <r>
      <rPr>
        <sz val="10"/>
        <color rgb="FF000000"/>
        <rFont val="楷体"/>
        <family val="3"/>
        <charset val="134"/>
      </rPr>
      <t>银行及证券</t>
    </r>
  </si>
  <si>
    <r>
      <rPr>
        <sz val="10"/>
        <color rgb="FF000000"/>
        <rFont val="楷体"/>
        <family val="3"/>
        <charset val="134"/>
      </rPr>
      <t>基础智能客服形象</t>
    </r>
  </si>
  <si>
    <t>RMB 000</t>
  </si>
  <si>
    <r>
      <rPr>
        <sz val="10"/>
        <color rgb="FF000000"/>
        <rFont val="Arial"/>
        <family val="2"/>
      </rPr>
      <t>出门问问专家：一个</t>
    </r>
    <r>
      <rPr>
        <sz val="10"/>
        <color rgb="FF000000"/>
        <rFont val="Times New Roman"/>
        <family val="1"/>
      </rPr>
      <t>3</t>
    </r>
    <r>
      <rPr>
        <sz val="10"/>
        <color rgb="FF000000"/>
        <rFont val="Arial"/>
        <family val="2"/>
      </rPr>
      <t>万，一般配备一男一女两个形象</t>
    </r>
  </si>
  <si>
    <r>
      <rPr>
        <sz val="10"/>
        <color rgb="FF000000"/>
        <rFont val="楷体"/>
        <family val="3"/>
        <charset val="134"/>
      </rPr>
      <t>交互客服智能体</t>
    </r>
  </si>
  <si>
    <r>
      <rPr>
        <sz val="10"/>
        <color rgb="FF000000"/>
        <rFont val="Arial"/>
        <family val="2"/>
      </rPr>
      <t>出门问问专家一般</t>
    </r>
    <r>
      <rPr>
        <sz val="10"/>
        <color rgb="FF000000"/>
        <rFont val="Times New Roman"/>
        <family val="1"/>
      </rPr>
      <t>10-20</t>
    </r>
    <r>
      <rPr>
        <sz val="10"/>
        <color rgb="FF000000"/>
        <rFont val="Arial"/>
        <family val="2"/>
      </rPr>
      <t>万，但银行不会超过</t>
    </r>
    <r>
      <rPr>
        <sz val="10"/>
        <color rgb="FF000000"/>
        <rFont val="Times New Roman"/>
        <family val="1"/>
      </rPr>
      <t>30</t>
    </r>
    <r>
      <rPr>
        <sz val="10"/>
        <color rgb="FF000000"/>
        <rFont val="Arial"/>
        <family val="2"/>
      </rPr>
      <t>万</t>
    </r>
  </si>
  <si>
    <r>
      <rPr>
        <sz val="10"/>
        <color rgb="FF000000"/>
        <rFont val="楷体"/>
        <family val="3"/>
        <charset val="134"/>
      </rPr>
      <t>核保理赔</t>
    </r>
    <r>
      <rPr>
        <sz val="10"/>
        <color rgb="FF000000"/>
        <rFont val="Times New Roman"/>
        <family val="1"/>
      </rPr>
      <t>+</t>
    </r>
    <r>
      <rPr>
        <sz val="10"/>
        <color rgb="FF000000"/>
        <rFont val="楷体"/>
        <family val="3"/>
        <charset val="134"/>
      </rPr>
      <t>形象</t>
    </r>
  </si>
  <si>
    <r>
      <rPr>
        <sz val="10"/>
        <color rgb="FF000000"/>
        <rFont val="楷体"/>
        <family val="3"/>
        <charset val="134"/>
      </rPr>
      <t>出门问问专家：一般</t>
    </r>
    <r>
      <rPr>
        <sz val="10"/>
        <color rgb="FF000000"/>
        <rFont val="Times New Roman"/>
        <family val="1"/>
      </rPr>
      <t>100</t>
    </r>
    <r>
      <rPr>
        <sz val="10"/>
        <color rgb="FF000000"/>
        <rFont val="楷体"/>
        <family val="3"/>
        <charset val="134"/>
      </rPr>
      <t>来万，集团性采购，包含形象定制、系统</t>
    </r>
    <r>
      <rPr>
        <sz val="10"/>
        <color rgb="FF000000"/>
        <rFont val="Times New Roman"/>
        <family val="1"/>
      </rPr>
      <t>API</t>
    </r>
    <r>
      <rPr>
        <sz val="10"/>
        <color rgb="FF000000"/>
        <rFont val="楷体"/>
        <family val="3"/>
        <charset val="134"/>
      </rPr>
      <t>打通、模型问答、语音转文字</t>
    </r>
  </si>
  <si>
    <r>
      <rPr>
        <b/>
        <sz val="10"/>
        <color theme="1"/>
        <rFont val="楷体"/>
        <family val="3"/>
        <charset val="134"/>
      </rPr>
      <t>文娱数字人市场规模</t>
    </r>
  </si>
  <si>
    <r>
      <rPr>
        <b/>
        <sz val="10"/>
        <color rgb="FF000000"/>
        <rFont val="楷体"/>
        <family val="3"/>
        <charset val="134"/>
      </rPr>
      <t>文娱数字人市场规模</t>
    </r>
    <r>
      <rPr>
        <b/>
        <sz val="10"/>
        <color rgb="FF000000"/>
        <rFont val="Times New Roman"/>
        <family val="1"/>
      </rPr>
      <t>= 1.1a</t>
    </r>
    <r>
      <rPr>
        <b/>
        <sz val="10"/>
        <color rgb="FF000000"/>
        <rFont val="楷体"/>
        <family val="3"/>
        <charset val="134"/>
      </rPr>
      <t>新增金融机构数量</t>
    </r>
    <r>
      <rPr>
        <b/>
        <sz val="10"/>
        <color rgb="FF000000"/>
        <rFont val="Times New Roman"/>
        <family val="1"/>
      </rPr>
      <t xml:space="preserve"> *1.1c</t>
    </r>
    <r>
      <rPr>
        <b/>
        <sz val="10"/>
        <color rgb="FF000000"/>
        <rFont val="楷体"/>
        <family val="3"/>
        <charset val="134"/>
      </rPr>
      <t>单项目数字人支出单价</t>
    </r>
  </si>
  <si>
    <r>
      <rPr>
        <b/>
        <sz val="10"/>
        <color rgb="FF000000"/>
        <rFont val="楷体"/>
        <family val="3"/>
        <charset val="134"/>
      </rPr>
      <t>文娱数字市场规模</t>
    </r>
  </si>
  <si>
    <r>
      <rPr>
        <sz val="10"/>
        <color rgb="FF000000"/>
        <rFont val="楷体"/>
        <family val="3"/>
        <charset val="134"/>
      </rPr>
      <t>景区</t>
    </r>
  </si>
  <si>
    <r>
      <rPr>
        <sz val="10"/>
        <color rgb="FF000000"/>
        <rFont val="楷体"/>
        <family val="3"/>
        <charset val="134"/>
      </rPr>
      <t>短剧</t>
    </r>
  </si>
  <si>
    <t>IP数字人</t>
  </si>
  <si>
    <r>
      <rPr>
        <b/>
        <sz val="10"/>
        <color rgb="FF000000"/>
        <rFont val="楷体"/>
        <family val="3"/>
        <charset val="134"/>
      </rPr>
      <t>文娱景区数字人市场规模</t>
    </r>
  </si>
  <si>
    <t>yoy</t>
  </si>
  <si>
    <t>2.1a</t>
  </si>
  <si>
    <r>
      <rPr>
        <b/>
        <sz val="10"/>
        <color rgb="FF000000"/>
        <rFont val="楷体"/>
        <family val="3"/>
        <charset val="134"/>
      </rPr>
      <t>数字人新渗透文娱景区数量</t>
    </r>
  </si>
  <si>
    <r>
      <rPr>
        <sz val="10"/>
        <color rgb="FF000000"/>
        <rFont val="楷体"/>
        <family val="3"/>
        <charset val="134"/>
      </rPr>
      <t>数字已渗透文娱景区数量（保有量）</t>
    </r>
  </si>
  <si>
    <r>
      <rPr>
        <sz val="10"/>
        <color rgb="FF000000"/>
        <rFont val="楷体"/>
        <family val="3"/>
        <charset val="134"/>
      </rPr>
      <t>中国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楷体"/>
        <family val="3"/>
        <charset val="134"/>
      </rPr>
      <t>级以上景区数量</t>
    </r>
  </si>
  <si>
    <r>
      <rPr>
        <sz val="10"/>
        <color rgb="FF000000"/>
        <rFont val="楷体"/>
        <family val="3"/>
        <charset val="134"/>
      </rPr>
      <t>数字人渗透率</t>
    </r>
  </si>
  <si>
    <t xml:space="preserve"> 假设到30年渗透所有5a-4a景区（）</t>
  </si>
  <si>
    <t>2.1b</t>
  </si>
  <si>
    <r>
      <rPr>
        <b/>
        <sz val="10"/>
        <color rgb="FF000000"/>
        <rFont val="楷体"/>
        <family val="3"/>
        <charset val="134"/>
      </rPr>
      <t>单景区数字人每年支出</t>
    </r>
  </si>
  <si>
    <t>出门问问专家：景区类项目主要是形象定制，基本一个景区一个形象，均价30万左右</t>
  </si>
  <si>
    <t>景区未来数字人支出增长逻辑：景区互动型数字人需应用AIGC技术，从而单价上升</t>
  </si>
  <si>
    <t>出门问问专家：屏幕+数字人+形象 22万-150万如果需要本地化部署, 未来可能会私有化部署，因为数据隐私、延迟更低</t>
  </si>
  <si>
    <t>出门问问专家：价格上基本2021-2022涨的比较多，23-24年陷入价格战</t>
  </si>
  <si>
    <t>For reference-中国3A及以上景区数量</t>
  </si>
  <si>
    <t>A级以上总数</t>
  </si>
  <si>
    <t>5A</t>
  </si>
  <si>
    <t>4A</t>
  </si>
  <si>
    <t>3A</t>
  </si>
  <si>
    <t>数字人渗透率</t>
  </si>
  <si>
    <r>
      <rPr>
        <b/>
        <sz val="10"/>
        <color rgb="FF000000"/>
        <rFont val="楷体"/>
        <family val="3"/>
        <charset val="134"/>
      </rPr>
      <t>短剧数字人市场规模</t>
    </r>
  </si>
  <si>
    <t>2.2a</t>
  </si>
  <si>
    <r>
      <rPr>
        <b/>
        <sz val="10"/>
        <color rgb="FF000000"/>
        <rFont val="Arial"/>
        <family val="2"/>
      </rPr>
      <t>数字人</t>
    </r>
    <r>
      <rPr>
        <b/>
        <sz val="10"/>
        <color rgb="FF000000"/>
        <rFont val="Times New Roman"/>
        <family val="1"/>
      </rPr>
      <t>-enable</t>
    </r>
    <r>
      <rPr>
        <b/>
        <sz val="10"/>
        <color rgb="FF000000"/>
        <rFont val="Arial"/>
        <family val="2"/>
      </rPr>
      <t>短剧分钟数</t>
    </r>
  </si>
  <si>
    <t>000 min</t>
  </si>
  <si>
    <t>假设短剧70集一集大概3分钟</t>
  </si>
  <si>
    <t>数字人渗透短剧数量</t>
  </si>
  <si>
    <t>每年新增短剧数量</t>
  </si>
  <si>
    <t>https://pdf.dfcfw.com/pdf/H3_AP202501161641945784_1.pdf#:~:text=2024%20%E5%B9%B41%2D12%20%E6%9C%88%EF%BC%8C%E9%95%BF%E8%A7%86%E9%A2%91%E5%92%8C%E7%9F%AD%E8%A7%86%E9%A2%91%E5%B9%B3%E5%8F%B08%E5%85%B1%E4%B8%8A%E7%BA%BF%E5%BE%AE%E7%9F%AD%E5%89%A71424%20%E9%83%A8%E3%80%82%209%E6%9A%91%E6%9C%9F%EF%BC%887%2D8%20%E6%9C%88%EF%BC%89%E6%98%AF%E5%BE%AE%E7%9F%AD%20%E5%89%A7%E4%B8%8A%E6%96%B0%E7%9A%84%E9%AB%98%E5%B3%B0%E3%80%82&amp;text=2024%20%E5%B9%B4%EF%BC%8C%E5%B0%8F%E7%A8%8B%E5%BA%8F%E5%92%8CAPP%20%E5%B9%B3%E5%8F%B010%E5%85%B1%E4%B8%8A%E7%BA%BF%E5%BE%AE%E7%9F%AD%E5%89%A735527%20%E9%83%A8%E3%80%82%2011%E9%99%A4%E4%B8%AA%E5%88%AB%E6%9C%88%E4%BB%BD%E5%87%BA%E7%8E%B0%E6%B3%A2%E5%8A%A8%E5%A4%96%EF%BC%8C%E6%95%B4%E4%BD%93%20%E5%91%88%E5%A2%9E%E9%95%BF%E8%B6%8B%E5%8A%BF%E3%80%82%20%E5%88%86%E5%B9%B3%E5%8F%B0%E7%9C%8B%EF%BC%8C%E5%B0%8F%E7%A8%8B%E5%BA%8F%E4%BB%8D%E6%98%AF%E5%BE%AE%E7%9F%AD%E5%89%A7%E5%8F%91%E8%A1%8C%E7%9A%84%E6%9C%80%E4%B8%BB%E8%A6%81%E6%B8%A0%E9%81%93%E3%80%82</t>
  </si>
  <si>
    <t>2024年新增短剧数量巨大，其中小程序和APP平台共上线了超过35527部微短剧，而长视频平台则上线了402部</t>
  </si>
  <si>
    <t>ADX短剧版数据显示：2025年上半年，参与投流的微短 剧总数（去重）超6.63万部，其中新剧总数超3.96万部， 占比约60%。</t>
  </si>
  <si>
    <t>每部剧每分钟数</t>
  </si>
  <si>
    <t>min</t>
  </si>
  <si>
    <t>短剧一般30-70集左右，平均一集3-5分钟</t>
  </si>
  <si>
    <t>2.2b</t>
  </si>
  <si>
    <t>数字人短剧收费</t>
  </si>
  <si>
    <t>RMB per min</t>
  </si>
  <si>
    <t>GJ-短剧收入</t>
  </si>
  <si>
    <t>RMB 亿元</t>
  </si>
  <si>
    <t>GJ-市场份额</t>
  </si>
  <si>
    <t>政府数字人市场规模</t>
  </si>
  <si>
    <t>政务机构数字人市场规模</t>
  </si>
  <si>
    <t>3.a</t>
  </si>
  <si>
    <t>数字人新渗透政务机构数量</t>
  </si>
  <si>
    <t>数字人已渗透政务机构数量（保有量）</t>
  </si>
  <si>
    <t>中国政务机构数量</t>
  </si>
  <si>
    <t>3.b</t>
  </si>
  <si>
    <t>政务机构数字人每年支出</t>
  </si>
  <si>
    <t>小冰专家：一个政务机关约采购三个数字人用于政务办理，政务大厅业务导流，政策引读等，25-30万一共</t>
  </si>
  <si>
    <t>县级以上政务服务综合的大厅</t>
  </si>
  <si>
    <t>基层便民中心</t>
  </si>
  <si>
    <t>国务院部门及有关单位大厅</t>
  </si>
  <si>
    <t>省政府服务中心</t>
  </si>
  <si>
    <t>截至2024年9月，全国县级及以上政务服务综合大厅超3500个，基层便民服务中心（站）超60万个，国务院部门及有关单位共设立政务服务大厅约60个，在31个省（区、市）和新疆生产建设兵团中有26个地方成立了省级政务服务中心或省级大厅，</t>
  </si>
  <si>
    <t>医疗数字人市场规模</t>
  </si>
  <si>
    <t>医院</t>
  </si>
  <si>
    <t>医生</t>
  </si>
  <si>
    <t>养老院</t>
  </si>
  <si>
    <t>医院数字人市场规模</t>
  </si>
  <si>
    <t>3.1a</t>
  </si>
  <si>
    <t>数字人新渗透医院数量</t>
  </si>
  <si>
    <t>三级医院</t>
  </si>
  <si>
    <t>二级医院</t>
  </si>
  <si>
    <t>一级医院</t>
  </si>
  <si>
    <t>其他</t>
  </si>
  <si>
    <t>数字人已渗透医院数量（保有量）</t>
  </si>
  <si>
    <t>中国医院数量</t>
  </si>
  <si>
    <t>PJ Sylva</t>
  </si>
  <si>
    <t>3.1b</t>
  </si>
  <si>
    <t>医院数字人单项目支出</t>
  </si>
  <si>
    <t>注释</t>
  </si>
  <si>
    <t>1.福建医院采购数字人（3D)大概50万</t>
  </si>
  <si>
    <t>https://fjsl.com.cn/info/26539.jspx</t>
  </si>
  <si>
    <t>医生数字人市场规模</t>
  </si>
  <si>
    <t>3.2a</t>
  </si>
  <si>
    <t>数字人新渗透医生数量</t>
  </si>
  <si>
    <t>数字人已渗透医生数量（保有量）</t>
  </si>
  <si>
    <t>中国医生数量</t>
  </si>
  <si>
    <t>https://www.nhc.gov.cn/mohwsbwstjxxzx/tjtjnj/202501/8193a8edda0f49df80eb5a8ef5e2547c/files/1740022743894_10341.pdf</t>
  </si>
  <si>
    <t>医院医生数量</t>
  </si>
  <si>
    <t>渗透率差值</t>
  </si>
  <si>
    <t>医生数字人单项目支出</t>
  </si>
  <si>
    <t>u</t>
  </si>
  <si>
    <t>出门问问专家：1w6形象克隆费+500分钟免费，一般用不完500分钟</t>
  </si>
  <si>
    <t>养老院数字人市场规模</t>
  </si>
  <si>
    <t>数字人新渗透养老院数量</t>
  </si>
  <si>
    <t>数字人已渗透养老院数量（保有量）</t>
  </si>
  <si>
    <t>中国养老院数量</t>
  </si>
  <si>
    <t>养老院数字人单项目支出</t>
  </si>
  <si>
    <t>出门问问专家：一般养老院配两个屏幕的数字人医生，半离线部署，一个10万</t>
  </si>
  <si>
    <t>教育数字人市场规模</t>
  </si>
  <si>
    <r>
      <rPr>
        <sz val="10"/>
        <color theme="1"/>
        <rFont val="楷体"/>
        <family val="3"/>
        <charset val="134"/>
      </rPr>
      <t>教师</t>
    </r>
  </si>
  <si>
    <r>
      <rPr>
        <sz val="10"/>
        <color theme="1"/>
        <rFont val="楷体"/>
        <family val="3"/>
        <charset val="134"/>
      </rPr>
      <t>学校</t>
    </r>
  </si>
  <si>
    <r>
      <rPr>
        <b/>
        <sz val="10"/>
        <color theme="1"/>
        <rFont val="楷体"/>
        <family val="3"/>
        <charset val="134"/>
      </rPr>
      <t>教师数字人市场规模</t>
    </r>
  </si>
  <si>
    <t>5.1a</t>
  </si>
  <si>
    <t>数字人新渗透高校以上教师数量</t>
  </si>
  <si>
    <t>000 Unit</t>
  </si>
  <si>
    <t>数字人已渗透高校以上教师数量（保有量）</t>
  </si>
  <si>
    <t>中国高校以上教师数量</t>
  </si>
  <si>
    <t>http://www.moe.gov.cn/jyb_sjzl/sjzl_fztjgb/202410/t20241024_1159002.html#:~:text=%E9%AB%98%E7%AD%89%E6%95%99%E8%82%B2%E4%B8%93%E4%BB%BB%E6%95%99%E5%B8%88207.49,%E9%AB%98%E7%AD%89%E5%AD%A6%E6%A0%A11.41%E4%B8%87%E4%BA%BA%E3%80%82</t>
  </si>
  <si>
    <t xml:space="preserve"> </t>
  </si>
  <si>
    <r>
      <rPr>
        <sz val="10"/>
        <color theme="1"/>
        <rFont val="楷体"/>
        <family val="3"/>
        <charset val="134"/>
      </rPr>
      <t>数字人渗透率</t>
    </r>
  </si>
  <si>
    <t>AI学伴新项目数量</t>
  </si>
  <si>
    <r>
      <rPr>
        <sz val="10"/>
        <color theme="1"/>
        <rFont val="Times New Roman"/>
        <family val="1"/>
      </rPr>
      <t>AI</t>
    </r>
    <r>
      <rPr>
        <sz val="10"/>
        <color theme="1"/>
        <rFont val="Arial"/>
        <family val="2"/>
      </rPr>
      <t>学伴在数字人项目渗透率</t>
    </r>
  </si>
  <si>
    <t>5.1b</t>
  </si>
  <si>
    <t>教师数字人授课项目支出</t>
  </si>
  <si>
    <t>无需aigc技术</t>
  </si>
  <si>
    <r>
      <rPr>
        <sz val="10"/>
        <color theme="1"/>
        <rFont val="Times New Roman"/>
        <family val="1"/>
      </rPr>
      <t>AI</t>
    </r>
    <r>
      <rPr>
        <sz val="10"/>
        <color theme="1"/>
        <rFont val="Arial"/>
        <family val="2"/>
      </rPr>
      <t>学伴数字人项目支出</t>
    </r>
  </si>
  <si>
    <t>出门问问专家：一个老师1-1.5万，配送500分钟，超额部分极少</t>
  </si>
  <si>
    <t>小冰专家：AI学伴项目25年渗透比例约在80%，教育类项目未来不太涉及AIGC</t>
  </si>
  <si>
    <r>
      <rPr>
        <b/>
        <sz val="10"/>
        <color theme="1"/>
        <rFont val="楷体"/>
        <family val="3"/>
        <charset val="134"/>
      </rPr>
      <t>学校数字人市场规模</t>
    </r>
  </si>
  <si>
    <t>5.2a</t>
  </si>
  <si>
    <r>
      <rPr>
        <sz val="10"/>
        <color theme="1"/>
        <rFont val="楷体"/>
        <family val="3"/>
        <charset val="134"/>
      </rPr>
      <t>数字人新渗透学校数量</t>
    </r>
  </si>
  <si>
    <r>
      <rPr>
        <sz val="10"/>
        <color theme="1"/>
        <rFont val="楷体"/>
        <family val="3"/>
        <charset val="134"/>
      </rPr>
      <t>数字人已渗透学校数量（保有量）</t>
    </r>
  </si>
  <si>
    <t>中国高校数量</t>
  </si>
  <si>
    <t>5.2b</t>
  </si>
  <si>
    <t>学校基础建设数字人单项目支出</t>
  </si>
  <si>
    <t>https://gzc.cuc.edu.cn/2023/0928/c1746a212211/page.htm</t>
  </si>
  <si>
    <t>出门问问专家：项目按部署方式，线上15万一年，半离线10万，全离线40万以上</t>
  </si>
  <si>
    <t>零售数字人市场规模</t>
  </si>
  <si>
    <t>6.1a</t>
  </si>
  <si>
    <r>
      <rPr>
        <sz val="10"/>
        <color theme="1"/>
        <rFont val="楷体"/>
        <family val="3"/>
        <charset val="134"/>
      </rPr>
      <t>数字人新渗透电商主播</t>
    </r>
  </si>
  <si>
    <r>
      <rPr>
        <sz val="10"/>
        <color theme="1"/>
        <rFont val="楷体"/>
        <family val="3"/>
        <charset val="134"/>
      </rPr>
      <t>数字人已渗透电商主播</t>
    </r>
  </si>
  <si>
    <r>
      <rPr>
        <sz val="10"/>
        <color theme="1"/>
        <rFont val="楷体"/>
        <family val="3"/>
        <charset val="134"/>
      </rPr>
      <t>中国电商主播数量</t>
    </r>
  </si>
  <si>
    <t>渗透率增速</t>
  </si>
  <si>
    <t>6.1b</t>
  </si>
  <si>
    <r>
      <rPr>
        <sz val="10"/>
        <color theme="1"/>
        <rFont val="楷体"/>
        <family val="3"/>
        <charset val="134"/>
      </rPr>
      <t>电商直播数字人售卖单价</t>
    </r>
  </si>
  <si>
    <t>中国电商主播数量测算</t>
  </si>
  <si>
    <t>中国主播数量</t>
  </si>
  <si>
    <t>中国直播用户规模</t>
  </si>
  <si>
    <t>https://finance.sina.com.cn/tech/digi/2025-06-26/doc-infcktkp3628519.shtml?froms=ggmp</t>
  </si>
  <si>
    <t>中国电商直播用户规模</t>
  </si>
  <si>
    <t>https://ciecc.ec.com.cn/upload/article/20250508/20250508102036216.pdf</t>
  </si>
  <si>
    <t>小冰专家：电商直播单平台一年2-3万，高精度的话成本更高</t>
  </si>
  <si>
    <t>商务部数据显示2023 年上半年我国直播电商平台上来自各行各业的活跃电商主播数已达337.4 万人。</t>
  </si>
  <si>
    <t>https://finance.sina.com.cn/tech/digi/2024-10-11/doc-incseytv4425040.shtml</t>
  </si>
  <si>
    <t>文娱IP数字人</t>
  </si>
  <si>
    <t>IP数字市场规模</t>
  </si>
  <si>
    <t>7.a</t>
  </si>
  <si>
    <t>IP数字人数量</t>
  </si>
  <si>
    <t>7.b</t>
  </si>
  <si>
    <t>IP数字人变现</t>
  </si>
  <si>
    <t>RMB 000 per year</t>
  </si>
  <si>
    <t>IP案例分析</t>
  </si>
  <si>
    <t>影视飓风-全网粉丝数 4000万</t>
  </si>
  <si>
    <t>周边售卖</t>
  </si>
  <si>
    <t>RMB million</t>
  </si>
  <si>
    <t>他们在抖音小店的营业额达5000万至7500万元，淘宝大概过去365天他们的总营业额约为4500万至6000万</t>
  </si>
  <si>
    <t>内容定制</t>
  </si>
  <si>
    <t>影视飓风主账号发布了近百条正片内容，其中商业合作视频占比50至60条，报价100-300万元一条</t>
  </si>
  <si>
    <t>除了硅基大司马之外，还有罗永浩、任泽平、jesen huang、AI孔子、AI蔡澜、AI郑成功、AI郭沫若</t>
  </si>
  <si>
    <t>周杰伦虚拟IP2025年推出，IIP一年授权收入1850W</t>
  </si>
  <si>
    <t>https://36kr.com/p/3371872371299078</t>
  </si>
  <si>
    <t>抖音KOL数量分布,按粉丝数量划分</t>
  </si>
  <si>
    <t>KOL数量</t>
  </si>
  <si>
    <t>&gt;5 M</t>
  </si>
  <si>
    <t>1-5M</t>
  </si>
  <si>
    <t>0.3-1M</t>
  </si>
  <si>
    <t>&lt;0.3M</t>
  </si>
  <si>
    <t>收入</t>
  </si>
  <si>
    <t xml:space="preserve">USD to RMB </t>
  </si>
  <si>
    <t>编码</t>
    <phoneticPr fontId="74" type="noConversion"/>
  </si>
  <si>
    <t>2025H1</t>
  </si>
  <si>
    <t>Global mkt share</t>
    <phoneticPr fontId="74" type="noConversion"/>
  </si>
  <si>
    <t>厂商</t>
  </si>
  <si>
    <t>硅基智能</t>
  </si>
  <si>
    <t>亿元</t>
  </si>
  <si>
    <t>后续需要和审计报告进一步确认。</t>
  </si>
  <si>
    <t>小冰</t>
  </si>
  <si>
    <t>F</t>
    <phoneticPr fontId="74" type="noConversion"/>
  </si>
  <si>
    <t>出门问问</t>
  </si>
  <si>
    <t>I</t>
    <phoneticPr fontId="74" type="noConversion"/>
  </si>
  <si>
    <t>魔珐</t>
  </si>
  <si>
    <t>G</t>
    <phoneticPr fontId="74" type="noConversion"/>
  </si>
  <si>
    <t>阿里云</t>
  </si>
  <si>
    <t>A</t>
    <phoneticPr fontId="74" type="noConversion"/>
  </si>
  <si>
    <t>腾讯</t>
  </si>
  <si>
    <t>B</t>
    <phoneticPr fontId="74" type="noConversion"/>
  </si>
  <si>
    <t>科大讯飞</t>
  </si>
  <si>
    <t>D</t>
    <phoneticPr fontId="74" type="noConversion"/>
  </si>
  <si>
    <t>字节</t>
  </si>
  <si>
    <t>C</t>
    <phoneticPr fontId="74" type="noConversion"/>
  </si>
  <si>
    <t>百度</t>
  </si>
  <si>
    <t>E</t>
    <phoneticPr fontId="74" type="noConversion"/>
  </si>
  <si>
    <t>华为云</t>
  </si>
  <si>
    <t>H</t>
    <phoneticPr fontId="74" type="noConversion"/>
  </si>
  <si>
    <t>头部玩家</t>
  </si>
  <si>
    <t>市场总数</t>
  </si>
  <si>
    <t>政务</t>
  </si>
  <si>
    <t>文娱</t>
  </si>
  <si>
    <t>教育</t>
  </si>
  <si>
    <t>医疗</t>
  </si>
  <si>
    <t>零售</t>
  </si>
  <si>
    <t>专家访谈数字</t>
  </si>
  <si>
    <t>2025年目标1.5亿。客户画像主要在金融、教育、营销、亿元。80-90%高校是小冰提供</t>
  </si>
  <si>
    <t>年报数字</t>
  </si>
  <si>
    <t>AI软件解决方案</t>
  </si>
  <si>
    <t>AIGC解决方案</t>
  </si>
  <si>
    <t>AI企业解决方案</t>
  </si>
  <si>
    <t>给模型提供知识库的梳理，进行数据清理</t>
  </si>
  <si>
    <t>智能设备机其他配件</t>
  </si>
  <si>
    <t>AIGC软件解决方案</t>
  </si>
  <si>
    <t>AI配音助手-魔音工坊</t>
  </si>
  <si>
    <t>AI数字人分神-奇妙元</t>
  </si>
  <si>
    <t>数字人相关</t>
  </si>
  <si>
    <t>视频：下游以知识输出型需求为主，如教师、医生、律师、企业CEO等。套餐收费，套餐外按分钟收费。 直播：1. 自动播放；2.前面虚拟人后面真人；按年或月收费。需求小</t>
  </si>
  <si>
    <t>企业AI交互数字员工生产平台-奇妙问</t>
  </si>
  <si>
    <t>1. 知识内设，10万元/个，后续收1万元/年的维护费；存在并发需求则需额外支付2万元/年。2. 大模型版本，平台20万元，并发额外4万元。3.一体机，线下有大屏幕</t>
  </si>
  <si>
    <t>3D CG影视游戏起家</t>
  </si>
  <si>
    <t>23年Q4开始转向SaaS收费</t>
  </si>
  <si>
    <t>不包含淘天</t>
  </si>
  <si>
    <t>流媒体</t>
  </si>
  <si>
    <t>实时交互</t>
  </si>
  <si>
    <t>视频合成</t>
  </si>
  <si>
    <t>表情及3D建模</t>
  </si>
  <si>
    <t>阿里云认为腾讯和他们规模差不多</t>
  </si>
  <si>
    <t>阿里云认为字节只有他们一半</t>
  </si>
  <si>
    <t>参考IDC</t>
  </si>
  <si>
    <t xml:space="preserve">Global market size </t>
    <phoneticPr fontId="74" type="noConversion"/>
  </si>
  <si>
    <t>Synthesia</t>
  </si>
  <si>
    <t>J</t>
    <phoneticPr fontId="74" type="noConversion"/>
  </si>
  <si>
    <t>https://getlatka.com/companies/synthesia.io</t>
  </si>
  <si>
    <t>USD mn</t>
  </si>
  <si>
    <t>62 in June 2024</t>
  </si>
  <si>
    <t>100 in April  2025</t>
  </si>
  <si>
    <t>HeyGen</t>
  </si>
  <si>
    <t>L</t>
    <phoneticPr fontId="74" type="noConversion"/>
  </si>
  <si>
    <t>https://getlatka.com/companies/heygen</t>
  </si>
  <si>
    <t>35 in June 2024</t>
  </si>
  <si>
    <t>UneeQ</t>
  </si>
  <si>
    <t>https://getlatka.com/companies/uneeq#revenue</t>
  </si>
  <si>
    <t>6.8 in June 2024</t>
  </si>
  <si>
    <t>Soul machine</t>
  </si>
  <si>
    <t>K</t>
    <phoneticPr fontId="74" type="noConversion"/>
  </si>
  <si>
    <t>https://growjo.com/company/Soul_Machines</t>
  </si>
  <si>
    <t>IDC数据</t>
  </si>
  <si>
    <t>中国AI数字人市场</t>
  </si>
  <si>
    <t>2024年度在中国A1数字人市场平台即服务(Paas)和软件服务(Saas)年度教入</t>
  </si>
  <si>
    <t>商汤科技</t>
  </si>
  <si>
    <t>追一科技</t>
  </si>
  <si>
    <t>其他厂商</t>
  </si>
  <si>
    <t>中国2D AI数字人市场</t>
  </si>
  <si>
    <t>Original Source</t>
  </si>
  <si>
    <t>CIC</t>
  </si>
  <si>
    <t>Prospectus</t>
  </si>
  <si>
    <t>Additional Checks</t>
  </si>
  <si>
    <t>original source data is inconsistent with CIC</t>
  </si>
  <si>
    <t>https://www.stats.gov.cn/sj/zxfb/202412/t20241226_1957892.html 
2023年末，全国共有文化、体育和娱乐业法人单位81.7万个，从业人员519.5万人，分别比2018年末增长44.1%和23.7%。其中，企业法人单位76.7万个，从业人员438.1万人，分别比2018年末增长51.3%和30.2%。</t>
  </si>
  <si>
    <t>original source data lack of supporting evidence for CIC's assumption</t>
  </si>
  <si>
    <t>周杰伦虚拟IP2025年推出，IP一年授权收入1850W</t>
  </si>
  <si>
    <t>巨星传奇2024年报</t>
  </si>
  <si>
    <t>competition and comparision</t>
  </si>
  <si>
    <r>
      <rPr>
        <sz val="11"/>
        <color rgb="FFFF0000"/>
        <rFont val="Calibri"/>
        <family val="2"/>
        <scheme val="minor"/>
      </rPr>
      <t>1. 硅基TRP期间收入待与最终审计报告确认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5"/>
        <rFont val="Calibri"/>
        <family val="2"/>
        <scheme val="minor"/>
      </rPr>
      <t>2. 与同业竞争收入对比口径：全部业务收入vs细分业务收入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</si>
</sst>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[$€-2]* #,##0.00_ ;_ [$€-2]* \-#,##0.00_ ;_ [$€-2]* &quot;-&quot;??_ "/>
    <numFmt numFmtId="165" formatCode="_ * #,##0.0_ ;_ * \-#,##0.0_ ;_ * &quot;-&quot;??_ ;_ @_ "/>
    <numFmt numFmtId="166" formatCode="0.0%"/>
    <numFmt numFmtId="167" formatCode="#,##0.0"/>
    <numFmt numFmtId="168" formatCode="0.0"/>
  </numFmts>
  <fonts count="96"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9"/>
      <color theme="4" tint="-0.249977111117893"/>
      <name val="Arial"/>
      <family val="2"/>
    </font>
    <font>
      <sz val="10"/>
      <name val="Arial"/>
      <family val="2"/>
    </font>
    <font>
      <i/>
      <sz val="9"/>
      <color theme="1"/>
      <name val="Arial"/>
      <family val="2"/>
    </font>
    <font>
      <i/>
      <sz val="10"/>
      <color rgb="FFFF0000"/>
      <name val="Arial"/>
      <family val="2"/>
    </font>
    <font>
      <sz val="11"/>
      <color theme="1"/>
      <name val="Calibri"/>
      <family val="2"/>
      <charset val="134"/>
      <scheme val="minor"/>
    </font>
    <font>
      <i/>
      <sz val="9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rgb="FF000000"/>
      <name val="Calibri"/>
      <scheme val="minor"/>
    </font>
    <font>
      <sz val="10"/>
      <color rgb="FF000000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10"/>
      <color rgb="FF7F7F7F"/>
      <name val="Times New Roman"/>
    </font>
    <font>
      <b/>
      <sz val="10"/>
      <color rgb="FF7F7F7F"/>
      <name val="Times New Roman"/>
    </font>
    <font>
      <sz val="10"/>
      <color rgb="FF0070C0"/>
      <name val="Times New Roman"/>
    </font>
    <font>
      <sz val="10"/>
      <color rgb="FFC00000"/>
      <name val="Times New Roman"/>
    </font>
    <font>
      <sz val="10"/>
      <color rgb="FF2F9299"/>
      <name val="Times New Roman"/>
    </font>
    <font>
      <sz val="10"/>
      <color theme="1"/>
      <name val="楷体"/>
      <family val="3"/>
      <charset val="134"/>
    </font>
    <font>
      <i/>
      <sz val="10"/>
      <color rgb="FF7F7F7F"/>
      <name val="Times New Roman"/>
    </font>
    <font>
      <b/>
      <sz val="10"/>
      <color rgb="FFC00000"/>
      <name val="Times New Roman"/>
    </font>
    <font>
      <b/>
      <sz val="10"/>
      <color rgb="FF00B050"/>
      <name val="Times New Roman"/>
    </font>
    <font>
      <b/>
      <sz val="10"/>
      <color theme="1"/>
      <name val="SimSun"/>
      <charset val="134"/>
    </font>
    <font>
      <b/>
      <sz val="10"/>
      <color rgb="FF000000"/>
      <name val="Times New Roman"/>
    </font>
    <font>
      <b/>
      <sz val="10"/>
      <color theme="0"/>
      <name val="Times New Roman"/>
    </font>
    <font>
      <i/>
      <sz val="10"/>
      <color rgb="FF999999"/>
      <name val="Times New Roman"/>
    </font>
    <font>
      <sz val="10"/>
      <color theme="1"/>
      <name val="Calibri"/>
      <scheme val="minor"/>
    </font>
    <font>
      <b/>
      <sz val="10"/>
      <color theme="0"/>
      <name val="楷体"/>
      <family val="3"/>
      <charset val="134"/>
    </font>
    <font>
      <b/>
      <sz val="10"/>
      <color rgb="FF000000"/>
      <name val="楷体"/>
      <family val="3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</font>
    <font>
      <sz val="10"/>
      <color theme="0"/>
      <name val="Times New Roman"/>
    </font>
    <font>
      <b/>
      <sz val="10"/>
      <color rgb="FFFFFFFF"/>
      <name val="Arial"/>
      <family val="2"/>
    </font>
    <font>
      <b/>
      <sz val="10"/>
      <color rgb="FFFFFFFF"/>
      <name val="Times New Roman"/>
      <family val="1"/>
    </font>
    <font>
      <sz val="10"/>
      <color rgb="FF4A86E8"/>
      <name val="Times New Roman"/>
    </font>
    <font>
      <sz val="10"/>
      <color rgb="FFFF0000"/>
      <name val="Times New Roman"/>
    </font>
    <font>
      <sz val="10"/>
      <color rgb="FF4285F4"/>
      <name val="Times New Roman"/>
    </font>
    <font>
      <sz val="10"/>
      <color theme="4"/>
      <name val="Times New Roman"/>
    </font>
    <font>
      <b/>
      <i/>
      <sz val="10"/>
      <color rgb="FF7F7F7F"/>
      <name val="Times New Roman"/>
    </font>
    <font>
      <i/>
      <sz val="10"/>
      <color rgb="FF7F7F7F"/>
      <name val="楷体"/>
      <family val="3"/>
      <charset val="134"/>
    </font>
    <font>
      <b/>
      <u/>
      <sz val="10"/>
      <color rgb="FF000000"/>
      <name val="Times New Roman"/>
    </font>
    <font>
      <sz val="10"/>
      <color rgb="FF191919"/>
      <name val="Arial"/>
    </font>
    <font>
      <b/>
      <sz val="10"/>
      <color theme="1"/>
      <name val="楷体"/>
      <family val="3"/>
      <charset val="134"/>
    </font>
    <font>
      <b/>
      <sz val="10"/>
      <color rgb="FF000000"/>
      <name val="Times New Roman"/>
      <family val="1"/>
    </font>
    <font>
      <sz val="10"/>
      <color rgb="FF000000"/>
      <name val="楷体"/>
      <family val="3"/>
      <charset val="134"/>
    </font>
    <font>
      <sz val="10"/>
      <color rgb="FF434343"/>
      <name val="Times New Roman"/>
    </font>
    <font>
      <u/>
      <sz val="10"/>
      <color rgb="FF000000"/>
      <name val="Times New Roman"/>
    </font>
    <font>
      <i/>
      <sz val="10"/>
      <color rgb="FF434343"/>
      <name val="Times New Roman"/>
    </font>
    <font>
      <i/>
      <sz val="10"/>
      <color rgb="FF434343"/>
      <name val="楷体"/>
      <family val="3"/>
      <charset val="134"/>
    </font>
    <font>
      <i/>
      <sz val="10"/>
      <color rgb="FFFF0000"/>
      <name val="Times New Roman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color rgb="FF0C5ADB"/>
      <name val="Times New Roman"/>
    </font>
    <font>
      <sz val="10"/>
      <color theme="5"/>
      <name val="Times New Roman"/>
    </font>
    <font>
      <sz val="10"/>
      <color rgb="FFEA4335"/>
      <name val="Times New Roman"/>
    </font>
    <font>
      <b/>
      <sz val="10"/>
      <color rgb="FF000000"/>
      <name val="Arial"/>
      <family val="2"/>
    </font>
    <font>
      <sz val="10"/>
      <color rgb="FF000000"/>
      <name val="SimSun"/>
      <charset val="134"/>
    </font>
    <font>
      <sz val="11"/>
      <color rgb="FF474747"/>
      <name val="Roboto"/>
    </font>
    <font>
      <b/>
      <sz val="10"/>
      <color rgb="FF000000"/>
      <name val="SimSun"/>
      <charset val="134"/>
    </font>
    <font>
      <sz val="10"/>
      <color rgb="FF0070C0"/>
      <name val="Arial"/>
    </font>
    <font>
      <sz val="10"/>
      <color rgb="FF4A86E8"/>
      <name val="Arial"/>
    </font>
    <font>
      <sz val="10"/>
      <color rgb="FF4A86E8"/>
      <name val="微软雅黑"/>
      <family val="2"/>
      <charset val="134"/>
    </font>
    <font>
      <sz val="10"/>
      <color rgb="FF4A86E8"/>
      <name val="Calibri"/>
      <scheme val="minor"/>
    </font>
    <font>
      <b/>
      <sz val="10"/>
      <color theme="1"/>
      <name val="KaiTi"/>
      <family val="3"/>
      <charset val="134"/>
    </font>
    <font>
      <b/>
      <sz val="10"/>
      <color rgb="FF000000"/>
      <name val="KaiTi"/>
      <family val="3"/>
      <charset val="134"/>
    </font>
    <font>
      <sz val="10"/>
      <color rgb="FF000000"/>
      <name val="KaiTi"/>
      <family val="3"/>
      <charset val="134"/>
    </font>
    <font>
      <sz val="9"/>
      <color rgb="FF191919"/>
      <name val="&quot;PingFang SC&quot;"/>
    </font>
    <font>
      <sz val="10"/>
      <color theme="4"/>
      <name val="Arial"/>
      <family val="2"/>
    </font>
    <font>
      <sz val="10"/>
      <color rgb="FF4A86E8"/>
      <name val="Calibri"/>
      <family val="2"/>
    </font>
    <font>
      <u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980000"/>
      <name val="Times New Roman"/>
      <family val="1"/>
    </font>
    <font>
      <sz val="10"/>
      <color theme="1"/>
      <name val="KaiTi"/>
      <family val="3"/>
      <charset val="134"/>
    </font>
    <font>
      <sz val="10"/>
      <color theme="1"/>
      <name val="Times New Roman"/>
      <family val="1"/>
    </font>
    <font>
      <sz val="10"/>
      <color theme="4"/>
      <name val="Calibri"/>
      <family val="2"/>
      <scheme val="minor"/>
    </font>
    <font>
      <u/>
      <sz val="10"/>
      <color theme="1"/>
      <name val="Times New Roman"/>
      <family val="1"/>
    </font>
    <font>
      <sz val="12"/>
      <color rgb="FF191B1F"/>
      <name val="Arial"/>
      <family val="2"/>
    </font>
    <font>
      <b/>
      <sz val="10"/>
      <color theme="1"/>
      <name val="Calibri"/>
      <family val="2"/>
      <scheme val="minor"/>
    </font>
    <font>
      <sz val="10"/>
      <color rgb="FFE6B8AF"/>
      <name val="Arial"/>
      <family val="2"/>
    </font>
    <font>
      <i/>
      <sz val="10"/>
      <color rgb="FF999999"/>
      <name val="Arial"/>
      <family val="2"/>
    </font>
    <font>
      <b/>
      <sz val="10"/>
      <color rgb="FFE6B8AF"/>
      <name val="Arial"/>
      <family val="2"/>
    </font>
    <font>
      <b/>
      <i/>
      <sz val="10"/>
      <color rgb="FF999999"/>
      <name val="Arial"/>
      <family val="2"/>
    </font>
    <font>
      <b/>
      <i/>
      <sz val="10"/>
      <color rgb="FF999999"/>
      <name val="宋体"/>
      <family val="2"/>
      <charset val="134"/>
    </font>
    <font>
      <b/>
      <sz val="10"/>
      <color rgb="FF6D9EEB"/>
      <name val="Arial"/>
      <family val="2"/>
    </font>
    <font>
      <b/>
      <i/>
      <sz val="10"/>
      <color rgb="FF6D9EEB"/>
      <name val="Arial"/>
      <family val="2"/>
    </font>
    <font>
      <i/>
      <sz val="10"/>
      <color rgb="FFE6B8AF"/>
      <name val="Arial"/>
      <family val="2"/>
    </font>
    <font>
      <sz val="10"/>
      <color theme="8"/>
      <name val="Arial"/>
      <family val="2"/>
    </font>
    <font>
      <sz val="10"/>
      <color rgb="FFFF6D01"/>
      <name val="Arial"/>
      <family val="2"/>
    </font>
    <font>
      <sz val="10"/>
      <color rgb="FF980000"/>
      <name val="Arial"/>
      <family val="2"/>
    </font>
    <font>
      <sz val="10"/>
      <color rgb="FF000000"/>
      <name val="Calibri"/>
      <family val="2"/>
      <scheme val="minor"/>
    </font>
    <font>
      <u/>
      <sz val="10"/>
      <color rgb="FF0000FF"/>
      <name val="Arial"/>
      <family val="2"/>
    </font>
    <font>
      <sz val="10"/>
      <color rgb="FF4285F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0C5ADB"/>
        <bgColor rgb="FF0C5AD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9" fillId="0" borderId="0">
      <alignment vertical="center"/>
    </xf>
    <xf numFmtId="0" fontId="13" fillId="0" borderId="0"/>
  </cellStyleXfs>
  <cellXfs count="30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4" fillId="0" borderId="2" xfId="0" applyFont="1" applyBorder="1" applyAlignment="1">
      <alignment vertical="top"/>
    </xf>
    <xf numFmtId="14" fontId="5" fillId="0" borderId="3" xfId="0" applyNumberFormat="1" applyFont="1" applyBorder="1" applyAlignment="1">
      <alignment horizontal="center" vertical="top" wrapText="1"/>
    </xf>
    <xf numFmtId="14" fontId="5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14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14" fontId="6" fillId="0" borderId="1" xfId="0" quotePrefix="1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4" fillId="0" borderId="0" xfId="2" applyFont="1"/>
    <xf numFmtId="0" fontId="15" fillId="0" borderId="0" xfId="2" applyFont="1" applyAlignment="1">
      <alignment horizontal="left"/>
    </xf>
    <xf numFmtId="0" fontId="15" fillId="0" borderId="0" xfId="2" applyFont="1"/>
    <xf numFmtId="0" fontId="16" fillId="0" borderId="0" xfId="2" applyFont="1"/>
    <xf numFmtId="0" fontId="17" fillId="0" borderId="0" xfId="2" applyFont="1" applyAlignment="1">
      <alignment horizontal="right"/>
    </xf>
    <xf numFmtId="0" fontId="18" fillId="0" borderId="0" xfId="2" applyFont="1" applyAlignment="1">
      <alignment horizontal="right"/>
    </xf>
    <xf numFmtId="165" fontId="16" fillId="0" borderId="0" xfId="2" applyNumberFormat="1" applyFont="1"/>
    <xf numFmtId="166" fontId="16" fillId="0" borderId="0" xfId="2" applyNumberFormat="1" applyFont="1"/>
    <xf numFmtId="0" fontId="16" fillId="0" borderId="5" xfId="2" applyFont="1" applyBorder="1" applyAlignment="1">
      <alignment horizontal="right"/>
    </xf>
    <xf numFmtId="0" fontId="16" fillId="0" borderId="6" xfId="2" applyFont="1" applyBorder="1" applyAlignment="1">
      <alignment horizontal="right"/>
    </xf>
    <xf numFmtId="0" fontId="16" fillId="0" borderId="0" xfId="2" applyFont="1" applyAlignment="1">
      <alignment horizontal="center"/>
    </xf>
    <xf numFmtId="0" fontId="16" fillId="0" borderId="0" xfId="2" applyFont="1" applyAlignment="1">
      <alignment horizontal="left"/>
    </xf>
    <xf numFmtId="0" fontId="13" fillId="0" borderId="0" xfId="2"/>
    <xf numFmtId="0" fontId="19" fillId="0" borderId="0" xfId="2" applyFont="1" applyAlignment="1">
      <alignment horizontal="left"/>
    </xf>
    <xf numFmtId="0" fontId="20" fillId="0" borderId="0" xfId="2" applyFont="1" applyAlignment="1">
      <alignment horizontal="left"/>
    </xf>
    <xf numFmtId="0" fontId="21" fillId="0" borderId="0" xfId="2" applyFont="1" applyAlignment="1">
      <alignment horizontal="left"/>
    </xf>
    <xf numFmtId="0" fontId="16" fillId="4" borderId="0" xfId="2" applyFont="1" applyFill="1"/>
    <xf numFmtId="0" fontId="16" fillId="0" borderId="7" xfId="2" applyFont="1" applyBorder="1" applyAlignment="1">
      <alignment horizontal="right"/>
    </xf>
    <xf numFmtId="0" fontId="16" fillId="0" borderId="8" xfId="2" applyFont="1" applyBorder="1" applyAlignment="1">
      <alignment horizontal="right"/>
    </xf>
    <xf numFmtId="0" fontId="23" fillId="0" borderId="0" xfId="2" applyFont="1" applyAlignment="1">
      <alignment horizontal="right"/>
    </xf>
    <xf numFmtId="0" fontId="23" fillId="0" borderId="0" xfId="2" applyFont="1" applyAlignment="1">
      <alignment horizontal="left"/>
    </xf>
    <xf numFmtId="0" fontId="24" fillId="0" borderId="0" xfId="2" applyFont="1" applyAlignment="1">
      <alignment horizontal="right"/>
    </xf>
    <xf numFmtId="0" fontId="15" fillId="0" borderId="0" xfId="2" applyFont="1" applyAlignment="1">
      <alignment horizontal="right"/>
    </xf>
    <xf numFmtId="0" fontId="25" fillId="0" borderId="0" xfId="2" applyFont="1" applyAlignment="1">
      <alignment horizontal="right"/>
    </xf>
    <xf numFmtId="0" fontId="15" fillId="0" borderId="9" xfId="2" applyFont="1" applyBorder="1" applyAlignment="1">
      <alignment horizontal="right"/>
    </xf>
    <xf numFmtId="0" fontId="15" fillId="0" borderId="10" xfId="2" applyFont="1" applyBorder="1" applyAlignment="1">
      <alignment horizontal="right"/>
    </xf>
    <xf numFmtId="0" fontId="15" fillId="0" borderId="0" xfId="2" applyFont="1" applyAlignment="1">
      <alignment horizontal="center"/>
    </xf>
    <xf numFmtId="0" fontId="26" fillId="0" borderId="0" xfId="2" applyFont="1" applyAlignment="1">
      <alignment horizontal="left"/>
    </xf>
    <xf numFmtId="0" fontId="27" fillId="5" borderId="0" xfId="2" applyFont="1" applyFill="1" applyAlignment="1">
      <alignment horizontal="left"/>
    </xf>
    <xf numFmtId="0" fontId="16" fillId="5" borderId="0" xfId="2" applyFont="1" applyFill="1"/>
    <xf numFmtId="0" fontId="28" fillId="5" borderId="0" xfId="2" applyFont="1" applyFill="1"/>
    <xf numFmtId="0" fontId="29" fillId="5" borderId="0" xfId="2" applyFont="1" applyFill="1" applyAlignment="1">
      <alignment horizontal="right"/>
    </xf>
    <xf numFmtId="0" fontId="16" fillId="5" borderId="0" xfId="2" applyFont="1" applyFill="1" applyAlignment="1">
      <alignment horizontal="right"/>
    </xf>
    <xf numFmtId="0" fontId="16" fillId="5" borderId="7" xfId="2" applyFont="1" applyFill="1" applyBorder="1" applyAlignment="1">
      <alignment horizontal="right"/>
    </xf>
    <xf numFmtId="0" fontId="16" fillId="5" borderId="8" xfId="2" applyFont="1" applyFill="1" applyBorder="1" applyAlignment="1">
      <alignment horizontal="right"/>
    </xf>
    <xf numFmtId="0" fontId="16" fillId="5" borderId="0" xfId="2" applyFont="1" applyFill="1" applyAlignment="1">
      <alignment horizontal="center"/>
    </xf>
    <xf numFmtId="0" fontId="16" fillId="5" borderId="0" xfId="2" applyFont="1" applyFill="1" applyAlignment="1">
      <alignment horizontal="left"/>
    </xf>
    <xf numFmtId="0" fontId="14" fillId="5" borderId="0" xfId="2" applyFont="1" applyFill="1"/>
    <xf numFmtId="0" fontId="27" fillId="0" borderId="0" xfId="2" applyFont="1" applyAlignment="1">
      <alignment vertical="center"/>
    </xf>
    <xf numFmtId="0" fontId="27" fillId="0" borderId="0" xfId="2" applyFont="1" applyAlignment="1">
      <alignment horizontal="left" vertical="center"/>
    </xf>
    <xf numFmtId="0" fontId="14" fillId="0" borderId="0" xfId="2" applyFont="1" applyAlignment="1">
      <alignment horizontal="right" vertical="center"/>
    </xf>
    <xf numFmtId="0" fontId="27" fillId="0" borderId="0" xfId="2" applyFont="1" applyAlignment="1">
      <alignment horizontal="right" vertical="center"/>
    </xf>
    <xf numFmtId="0" fontId="14" fillId="0" borderId="0" xfId="2" applyFont="1" applyAlignment="1">
      <alignment vertical="center"/>
    </xf>
    <xf numFmtId="0" fontId="27" fillId="0" borderId="7" xfId="2" applyFont="1" applyBorder="1" applyAlignment="1">
      <alignment horizontal="right" vertical="center"/>
    </xf>
    <xf numFmtId="0" fontId="27" fillId="0" borderId="8" xfId="2" applyFont="1" applyBorder="1" applyAlignment="1">
      <alignment horizontal="right" vertical="center"/>
    </xf>
    <xf numFmtId="0" fontId="27" fillId="0" borderId="0" xfId="2" applyFont="1" applyAlignment="1">
      <alignment horizontal="center" vertical="center"/>
    </xf>
    <xf numFmtId="0" fontId="14" fillId="0" borderId="0" xfId="2" applyFont="1" applyAlignment="1">
      <alignment horizontal="right"/>
    </xf>
    <xf numFmtId="167" fontId="14" fillId="0" borderId="0" xfId="2" applyNumberFormat="1" applyFont="1" applyAlignment="1">
      <alignment vertical="center"/>
    </xf>
    <xf numFmtId="166" fontId="14" fillId="0" borderId="7" xfId="2" applyNumberFormat="1" applyFont="1" applyBorder="1" applyAlignment="1">
      <alignment horizontal="right"/>
    </xf>
    <xf numFmtId="166" fontId="14" fillId="0" borderId="8" xfId="2" applyNumberFormat="1" applyFont="1" applyBorder="1" applyAlignment="1">
      <alignment horizontal="right"/>
    </xf>
    <xf numFmtId="167" fontId="14" fillId="0" borderId="0" xfId="2" applyNumberFormat="1" applyFont="1" applyAlignment="1">
      <alignment horizontal="right" vertical="center"/>
    </xf>
    <xf numFmtId="0" fontId="27" fillId="0" borderId="0" xfId="2" applyFont="1" applyAlignment="1">
      <alignment horizontal="left"/>
    </xf>
    <xf numFmtId="0" fontId="14" fillId="0" borderId="7" xfId="2" applyFont="1" applyBorder="1" applyAlignment="1">
      <alignment horizontal="right"/>
    </xf>
    <xf numFmtId="0" fontId="14" fillId="0" borderId="8" xfId="2" applyFont="1" applyBorder="1" applyAlignment="1">
      <alignment horizontal="right"/>
    </xf>
    <xf numFmtId="0" fontId="14" fillId="0" borderId="0" xfId="2" applyFont="1" applyAlignment="1">
      <alignment horizontal="center"/>
    </xf>
    <xf numFmtId="0" fontId="14" fillId="0" borderId="0" xfId="2" applyFont="1" applyAlignment="1">
      <alignment horizontal="left"/>
    </xf>
    <xf numFmtId="0" fontId="27" fillId="0" borderId="0" xfId="2" applyFont="1"/>
    <xf numFmtId="9" fontId="14" fillId="0" borderId="0" xfId="2" applyNumberFormat="1" applyFont="1"/>
    <xf numFmtId="9" fontId="20" fillId="0" borderId="0" xfId="2" applyNumberFormat="1" applyFont="1"/>
    <xf numFmtId="9" fontId="30" fillId="0" borderId="0" xfId="2" applyNumberFormat="1" applyFont="1"/>
    <xf numFmtId="0" fontId="28" fillId="0" borderId="0" xfId="2" applyFont="1"/>
    <xf numFmtId="0" fontId="29" fillId="0" borderId="0" xfId="2" applyFont="1" applyAlignment="1">
      <alignment horizontal="right"/>
    </xf>
    <xf numFmtId="0" fontId="16" fillId="0" borderId="0" xfId="2" applyFont="1" applyAlignment="1">
      <alignment horizontal="right"/>
    </xf>
    <xf numFmtId="166" fontId="14" fillId="0" borderId="0" xfId="2" applyNumberFormat="1" applyFont="1"/>
    <xf numFmtId="167" fontId="14" fillId="0" borderId="0" xfId="2" applyNumberFormat="1" applyFont="1"/>
    <xf numFmtId="10" fontId="14" fillId="0" borderId="0" xfId="2" applyNumberFormat="1" applyFont="1" applyAlignment="1">
      <alignment horizontal="center"/>
    </xf>
    <xf numFmtId="167" fontId="16" fillId="0" borderId="0" xfId="2" applyNumberFormat="1" applyFont="1"/>
    <xf numFmtId="0" fontId="14" fillId="0" borderId="5" xfId="2" applyFont="1" applyBorder="1"/>
    <xf numFmtId="0" fontId="16" fillId="0" borderId="11" xfId="2" applyFont="1" applyBorder="1"/>
    <xf numFmtId="0" fontId="29" fillId="0" borderId="11" xfId="2" applyFont="1" applyBorder="1" applyAlignment="1">
      <alignment horizontal="right"/>
    </xf>
    <xf numFmtId="0" fontId="14" fillId="0" borderId="11" xfId="2" applyFont="1" applyBorder="1" applyAlignment="1">
      <alignment horizontal="right"/>
    </xf>
    <xf numFmtId="0" fontId="16" fillId="0" borderId="11" xfId="2" applyFont="1" applyBorder="1" applyAlignment="1">
      <alignment horizontal="right"/>
    </xf>
    <xf numFmtId="0" fontId="30" fillId="0" borderId="11" xfId="2" applyFont="1" applyBorder="1"/>
    <xf numFmtId="1" fontId="33" fillId="0" borderId="11" xfId="2" applyNumberFormat="1" applyFont="1" applyBorder="1"/>
    <xf numFmtId="1" fontId="34" fillId="0" borderId="6" xfId="2" applyNumberFormat="1" applyFont="1" applyBorder="1"/>
    <xf numFmtId="166" fontId="27" fillId="0" borderId="0" xfId="2" applyNumberFormat="1" applyFont="1" applyAlignment="1">
      <alignment horizontal="left"/>
    </xf>
    <xf numFmtId="166" fontId="28" fillId="0" borderId="0" xfId="2" applyNumberFormat="1" applyFont="1"/>
    <xf numFmtId="166" fontId="35" fillId="0" borderId="12" xfId="2" applyNumberFormat="1" applyFont="1" applyBorder="1"/>
    <xf numFmtId="166" fontId="16" fillId="0" borderId="13" xfId="2" applyNumberFormat="1" applyFont="1" applyBorder="1"/>
    <xf numFmtId="166" fontId="29" fillId="0" borderId="13" xfId="2" applyNumberFormat="1" applyFont="1" applyBorder="1" applyAlignment="1">
      <alignment horizontal="right"/>
    </xf>
    <xf numFmtId="166" fontId="16" fillId="0" borderId="13" xfId="2" applyNumberFormat="1" applyFont="1" applyBorder="1" applyAlignment="1">
      <alignment horizontal="right"/>
    </xf>
    <xf numFmtId="166" fontId="16" fillId="0" borderId="14" xfId="2" applyNumberFormat="1" applyFont="1" applyBorder="1"/>
    <xf numFmtId="166" fontId="16" fillId="0" borderId="7" xfId="2" applyNumberFormat="1" applyFont="1" applyBorder="1" applyAlignment="1">
      <alignment horizontal="right"/>
    </xf>
    <xf numFmtId="166" fontId="16" fillId="0" borderId="8" xfId="2" applyNumberFormat="1" applyFont="1" applyBorder="1" applyAlignment="1">
      <alignment horizontal="right"/>
    </xf>
    <xf numFmtId="166" fontId="16" fillId="0" borderId="0" xfId="2" applyNumberFormat="1" applyFont="1" applyAlignment="1">
      <alignment horizontal="center"/>
    </xf>
    <xf numFmtId="166" fontId="16" fillId="0" borderId="0" xfId="2" applyNumberFormat="1" applyFont="1" applyAlignment="1">
      <alignment horizontal="left"/>
    </xf>
    <xf numFmtId="0" fontId="27" fillId="6" borderId="0" xfId="2" applyFont="1" applyFill="1" applyAlignment="1">
      <alignment horizontal="left"/>
    </xf>
    <xf numFmtId="0" fontId="28" fillId="6" borderId="0" xfId="2" applyFont="1" applyFill="1"/>
    <xf numFmtId="0" fontId="16" fillId="6" borderId="0" xfId="2" applyFont="1" applyFill="1"/>
    <xf numFmtId="0" fontId="29" fillId="6" borderId="0" xfId="2" applyFont="1" applyFill="1" applyAlignment="1">
      <alignment horizontal="right"/>
    </xf>
    <xf numFmtId="0" fontId="16" fillId="6" borderId="0" xfId="2" applyFont="1" applyFill="1" applyAlignment="1">
      <alignment horizontal="right"/>
    </xf>
    <xf numFmtId="0" fontId="16" fillId="6" borderId="7" xfId="2" applyFont="1" applyFill="1" applyBorder="1" applyAlignment="1">
      <alignment horizontal="right"/>
    </xf>
    <xf numFmtId="0" fontId="16" fillId="6" borderId="8" xfId="2" applyFont="1" applyFill="1" applyBorder="1" applyAlignment="1">
      <alignment horizontal="right"/>
    </xf>
    <xf numFmtId="0" fontId="16" fillId="6" borderId="0" xfId="2" applyFont="1" applyFill="1" applyAlignment="1">
      <alignment horizontal="center"/>
    </xf>
    <xf numFmtId="0" fontId="16" fillId="6" borderId="0" xfId="2" applyFont="1" applyFill="1" applyAlignment="1">
      <alignment horizontal="left"/>
    </xf>
    <xf numFmtId="0" fontId="14" fillId="6" borderId="0" xfId="2" applyFont="1" applyFill="1"/>
    <xf numFmtId="168" fontId="14" fillId="0" borderId="0" xfId="2" applyNumberFormat="1" applyFont="1"/>
    <xf numFmtId="0" fontId="30" fillId="0" borderId="0" xfId="2" applyFont="1" applyAlignment="1">
      <alignment horizontal="left"/>
    </xf>
    <xf numFmtId="168" fontId="38" fillId="0" borderId="0" xfId="2" applyNumberFormat="1" applyFont="1"/>
    <xf numFmtId="9" fontId="39" fillId="0" borderId="0" xfId="2" applyNumberFormat="1" applyFont="1"/>
    <xf numFmtId="0" fontId="39" fillId="0" borderId="0" xfId="2" applyFont="1"/>
    <xf numFmtId="0" fontId="30" fillId="0" borderId="0" xfId="2" applyFont="1"/>
    <xf numFmtId="168" fontId="40" fillId="0" borderId="0" xfId="2" applyNumberFormat="1" applyFont="1"/>
    <xf numFmtId="168" fontId="41" fillId="0" borderId="0" xfId="2" applyNumberFormat="1" applyFont="1"/>
    <xf numFmtId="168" fontId="19" fillId="0" borderId="0" xfId="2" applyNumberFormat="1" applyFont="1" applyAlignment="1">
      <alignment horizontal="right"/>
    </xf>
    <xf numFmtId="168" fontId="41" fillId="0" borderId="0" xfId="2" applyNumberFormat="1" applyFont="1" applyAlignment="1">
      <alignment horizontal="right"/>
    </xf>
    <xf numFmtId="0" fontId="42" fillId="0" borderId="0" xfId="2" applyFont="1"/>
    <xf numFmtId="0" fontId="23" fillId="0" borderId="0" xfId="2" applyFont="1"/>
    <xf numFmtId="168" fontId="23" fillId="0" borderId="0" xfId="2" applyNumberFormat="1" applyFont="1" applyAlignment="1">
      <alignment horizontal="right"/>
    </xf>
    <xf numFmtId="168" fontId="23" fillId="0" borderId="0" xfId="2" applyNumberFormat="1" applyFont="1"/>
    <xf numFmtId="9" fontId="23" fillId="0" borderId="0" xfId="2" applyNumberFormat="1" applyFont="1"/>
    <xf numFmtId="10" fontId="14" fillId="0" borderId="0" xfId="2" applyNumberFormat="1" applyFont="1" applyAlignment="1">
      <alignment horizontal="left"/>
    </xf>
    <xf numFmtId="0" fontId="44" fillId="0" borderId="5" xfId="2" applyFont="1" applyBorder="1"/>
    <xf numFmtId="0" fontId="14" fillId="0" borderId="11" xfId="2" applyFont="1" applyBorder="1"/>
    <xf numFmtId="168" fontId="14" fillId="0" borderId="11" xfId="2" applyNumberFormat="1" applyFont="1" applyBorder="1"/>
    <xf numFmtId="0" fontId="14" fillId="0" borderId="5" xfId="2" applyFont="1" applyBorder="1" applyAlignment="1">
      <alignment horizontal="right"/>
    </xf>
    <xf numFmtId="0" fontId="14" fillId="0" borderId="6" xfId="2" applyFont="1" applyBorder="1" applyAlignment="1">
      <alignment horizontal="right"/>
    </xf>
    <xf numFmtId="0" fontId="14" fillId="0" borderId="11" xfId="2" applyFont="1" applyBorder="1" applyAlignment="1">
      <alignment horizontal="center"/>
    </xf>
    <xf numFmtId="0" fontId="14" fillId="0" borderId="11" xfId="2" applyFont="1" applyBorder="1" applyAlignment="1">
      <alignment horizontal="left"/>
    </xf>
    <xf numFmtId="0" fontId="14" fillId="0" borderId="6" xfId="2" applyFont="1" applyBorder="1"/>
    <xf numFmtId="0" fontId="30" fillId="0" borderId="7" xfId="2" applyFont="1" applyBorder="1"/>
    <xf numFmtId="0" fontId="14" fillId="0" borderId="8" xfId="2" applyFont="1" applyBorder="1"/>
    <xf numFmtId="0" fontId="14" fillId="0" borderId="7" xfId="2" applyFont="1" applyBorder="1"/>
    <xf numFmtId="0" fontId="45" fillId="7" borderId="0" xfId="2" applyFont="1" applyFill="1" applyAlignment="1">
      <alignment horizontal="left"/>
    </xf>
    <xf numFmtId="168" fontId="14" fillId="0" borderId="0" xfId="2" applyNumberFormat="1" applyFont="1" applyAlignment="1">
      <alignment horizontal="right"/>
    </xf>
    <xf numFmtId="0" fontId="14" fillId="0" borderId="12" xfId="2" applyFont="1" applyBorder="1"/>
    <xf numFmtId="0" fontId="16" fillId="0" borderId="13" xfId="2" applyFont="1" applyBorder="1"/>
    <xf numFmtId="0" fontId="14" fillId="0" borderId="13" xfId="2" applyFont="1" applyBorder="1"/>
    <xf numFmtId="0" fontId="45" fillId="7" borderId="13" xfId="2" applyFont="1" applyFill="1" applyBorder="1" applyAlignment="1">
      <alignment horizontal="left"/>
    </xf>
    <xf numFmtId="0" fontId="14" fillId="0" borderId="13" xfId="2" applyFont="1" applyBorder="1" applyAlignment="1">
      <alignment horizontal="right"/>
    </xf>
    <xf numFmtId="168" fontId="14" fillId="0" borderId="13" xfId="2" applyNumberFormat="1" applyFont="1" applyBorder="1"/>
    <xf numFmtId="0" fontId="14" fillId="0" borderId="12" xfId="2" applyFont="1" applyBorder="1" applyAlignment="1">
      <alignment horizontal="right"/>
    </xf>
    <xf numFmtId="0" fontId="14" fillId="0" borderId="14" xfId="2" applyFont="1" applyBorder="1" applyAlignment="1">
      <alignment horizontal="right"/>
    </xf>
    <xf numFmtId="0" fontId="14" fillId="0" borderId="13" xfId="2" applyFont="1" applyBorder="1" applyAlignment="1">
      <alignment horizontal="center"/>
    </xf>
    <xf numFmtId="0" fontId="14" fillId="0" borderId="13" xfId="2" applyFont="1" applyBorder="1" applyAlignment="1">
      <alignment horizontal="left"/>
    </xf>
    <xf numFmtId="0" fontId="14" fillId="0" borderId="14" xfId="2" applyFont="1" applyBorder="1"/>
    <xf numFmtId="0" fontId="14" fillId="8" borderId="0" xfId="2" applyFont="1" applyFill="1"/>
    <xf numFmtId="0" fontId="27" fillId="8" borderId="0" xfId="2" applyFont="1" applyFill="1" applyAlignment="1">
      <alignment horizontal="left"/>
    </xf>
    <xf numFmtId="0" fontId="15" fillId="8" borderId="0" xfId="2" applyFont="1" applyFill="1"/>
    <xf numFmtId="0" fontId="14" fillId="8" borderId="0" xfId="2" applyFont="1" applyFill="1" applyAlignment="1">
      <alignment horizontal="right"/>
    </xf>
    <xf numFmtId="0" fontId="14" fillId="8" borderId="7" xfId="2" applyFont="1" applyFill="1" applyBorder="1"/>
    <xf numFmtId="0" fontId="14" fillId="8" borderId="8" xfId="2" applyFont="1" applyFill="1" applyBorder="1"/>
    <xf numFmtId="0" fontId="14" fillId="8" borderId="0" xfId="2" applyFont="1" applyFill="1" applyAlignment="1">
      <alignment horizontal="center"/>
    </xf>
    <xf numFmtId="0" fontId="14" fillId="8" borderId="0" xfId="2" applyFont="1" applyFill="1" applyAlignment="1">
      <alignment horizontal="left"/>
    </xf>
    <xf numFmtId="167" fontId="49" fillId="0" borderId="0" xfId="2" applyNumberFormat="1" applyFont="1"/>
    <xf numFmtId="167" fontId="41" fillId="0" borderId="0" xfId="2" applyNumberFormat="1" applyFont="1"/>
    <xf numFmtId="167" fontId="40" fillId="0" borderId="0" xfId="2" applyNumberFormat="1" applyFont="1"/>
    <xf numFmtId="0" fontId="50" fillId="0" borderId="0" xfId="2" applyFont="1" applyAlignment="1">
      <alignment horizontal="left"/>
    </xf>
    <xf numFmtId="0" fontId="51" fillId="0" borderId="0" xfId="2" applyFont="1"/>
    <xf numFmtId="0" fontId="51" fillId="0" borderId="0" xfId="2" applyFont="1" applyAlignment="1">
      <alignment horizontal="right"/>
    </xf>
    <xf numFmtId="166" fontId="51" fillId="0" borderId="0" xfId="2" applyNumberFormat="1" applyFont="1"/>
    <xf numFmtId="0" fontId="20" fillId="0" borderId="0" xfId="2" applyFont="1"/>
    <xf numFmtId="166" fontId="53" fillId="0" borderId="0" xfId="2" applyNumberFormat="1" applyFont="1"/>
    <xf numFmtId="10" fontId="39" fillId="0" borderId="0" xfId="2" applyNumberFormat="1" applyFont="1"/>
    <xf numFmtId="0" fontId="41" fillId="0" borderId="0" xfId="2" applyFont="1"/>
    <xf numFmtId="166" fontId="39" fillId="0" borderId="0" xfId="2" applyNumberFormat="1" applyFont="1"/>
    <xf numFmtId="10" fontId="14" fillId="0" borderId="0" xfId="2" applyNumberFormat="1" applyFont="1"/>
    <xf numFmtId="168" fontId="39" fillId="0" borderId="0" xfId="2" applyNumberFormat="1" applyFont="1"/>
    <xf numFmtId="0" fontId="27" fillId="0" borderId="5" xfId="2" applyFont="1" applyBorder="1"/>
    <xf numFmtId="0" fontId="41" fillId="0" borderId="13" xfId="2" applyFont="1" applyBorder="1"/>
    <xf numFmtId="166" fontId="14" fillId="9" borderId="8" xfId="2" applyNumberFormat="1" applyFont="1" applyFill="1" applyBorder="1" applyAlignment="1">
      <alignment horizontal="right"/>
    </xf>
    <xf numFmtId="167" fontId="20" fillId="0" borderId="0" xfId="2" applyNumberFormat="1" applyFont="1"/>
    <xf numFmtId="167" fontId="56" fillId="0" borderId="0" xfId="2" applyNumberFormat="1" applyFont="1"/>
    <xf numFmtId="0" fontId="57" fillId="0" borderId="0" xfId="2" applyFont="1"/>
    <xf numFmtId="9" fontId="58" fillId="0" borderId="0" xfId="2" applyNumberFormat="1" applyFont="1"/>
    <xf numFmtId="4" fontId="30" fillId="0" borderId="0" xfId="2" applyNumberFormat="1" applyFont="1"/>
    <xf numFmtId="167" fontId="58" fillId="0" borderId="0" xfId="2" applyNumberFormat="1" applyFont="1"/>
    <xf numFmtId="167" fontId="39" fillId="0" borderId="0" xfId="2" applyNumberFormat="1" applyFont="1"/>
    <xf numFmtId="167" fontId="14" fillId="0" borderId="11" xfId="2" applyNumberFormat="1" applyFont="1" applyBorder="1"/>
    <xf numFmtId="167" fontId="14" fillId="0" borderId="6" xfId="2" applyNumberFormat="1" applyFont="1" applyBorder="1"/>
    <xf numFmtId="167" fontId="14" fillId="0" borderId="8" xfId="2" applyNumberFormat="1" applyFont="1" applyBorder="1"/>
    <xf numFmtId="10" fontId="20" fillId="0" borderId="0" xfId="2" applyNumberFormat="1" applyFont="1"/>
    <xf numFmtId="167" fontId="14" fillId="0" borderId="13" xfId="2" applyNumberFormat="1" applyFont="1" applyBorder="1"/>
    <xf numFmtId="9" fontId="20" fillId="0" borderId="13" xfId="2" applyNumberFormat="1" applyFont="1" applyBorder="1"/>
    <xf numFmtId="0" fontId="60" fillId="0" borderId="0" xfId="2" applyFont="1" applyAlignment="1">
      <alignment horizontal="left"/>
    </xf>
    <xf numFmtId="0" fontId="60" fillId="0" borderId="0" xfId="2" applyFont="1"/>
    <xf numFmtId="167" fontId="57" fillId="0" borderId="0" xfId="2" applyNumberFormat="1" applyFont="1"/>
    <xf numFmtId="4" fontId="58" fillId="0" borderId="0" xfId="2" applyNumberFormat="1" applyFont="1"/>
    <xf numFmtId="166" fontId="58" fillId="0" borderId="0" xfId="2" applyNumberFormat="1" applyFont="1"/>
    <xf numFmtId="0" fontId="58" fillId="0" borderId="0" xfId="2" applyFont="1"/>
    <xf numFmtId="0" fontId="61" fillId="0" borderId="0" xfId="2" applyFont="1"/>
    <xf numFmtId="166" fontId="57" fillId="0" borderId="0" xfId="2" applyNumberFormat="1" applyFont="1"/>
    <xf numFmtId="166" fontId="20" fillId="0" borderId="0" xfId="2" applyNumberFormat="1" applyFont="1"/>
    <xf numFmtId="0" fontId="62" fillId="0" borderId="0" xfId="2" applyFont="1"/>
    <xf numFmtId="0" fontId="63" fillId="0" borderId="0" xfId="2" applyFont="1"/>
    <xf numFmtId="0" fontId="33" fillId="0" borderId="0" xfId="2" applyFont="1" applyAlignment="1">
      <alignment horizontal="right"/>
    </xf>
    <xf numFmtId="0" fontId="63" fillId="0" borderId="0" xfId="2" applyFont="1" applyAlignment="1">
      <alignment horizontal="right"/>
    </xf>
    <xf numFmtId="2" fontId="64" fillId="0" borderId="11" xfId="2" applyNumberFormat="1" applyFont="1" applyBorder="1"/>
    <xf numFmtId="2" fontId="65" fillId="0" borderId="11" xfId="2" applyNumberFormat="1" applyFont="1" applyBorder="1" applyAlignment="1">
      <alignment horizontal="right"/>
    </xf>
    <xf numFmtId="2" fontId="66" fillId="0" borderId="11" xfId="2" applyNumberFormat="1" applyFont="1" applyBorder="1"/>
    <xf numFmtId="0" fontId="33" fillId="0" borderId="11" xfId="2" applyFont="1" applyBorder="1" applyAlignment="1">
      <alignment horizontal="right"/>
    </xf>
    <xf numFmtId="0" fontId="63" fillId="0" borderId="6" xfId="2" applyFont="1" applyBorder="1" applyAlignment="1">
      <alignment horizontal="right"/>
    </xf>
    <xf numFmtId="0" fontId="27" fillId="0" borderId="7" xfId="2" applyFont="1" applyBorder="1"/>
    <xf numFmtId="0" fontId="30" fillId="0" borderId="8" xfId="2" applyFont="1" applyBorder="1"/>
    <xf numFmtId="0" fontId="27" fillId="0" borderId="12" xfId="2" applyFont="1" applyBorder="1"/>
    <xf numFmtId="0" fontId="30" fillId="0" borderId="13" xfId="2" applyFont="1" applyBorder="1"/>
    <xf numFmtId="10" fontId="30" fillId="0" borderId="13" xfId="2" applyNumberFormat="1" applyFont="1" applyBorder="1"/>
    <xf numFmtId="0" fontId="30" fillId="0" borderId="14" xfId="2" applyFont="1" applyBorder="1"/>
    <xf numFmtId="0" fontId="67" fillId="8" borderId="0" xfId="2" applyFont="1" applyFill="1"/>
    <xf numFmtId="0" fontId="68" fillId="0" borderId="0" xfId="2" applyFont="1"/>
    <xf numFmtId="0" fontId="69" fillId="0" borderId="0" xfId="2" applyFont="1"/>
    <xf numFmtId="0" fontId="34" fillId="0" borderId="0" xfId="2" applyFont="1"/>
    <xf numFmtId="167" fontId="58" fillId="10" borderId="0" xfId="2" applyNumberFormat="1" applyFont="1" applyFill="1"/>
    <xf numFmtId="167" fontId="57" fillId="10" borderId="0" xfId="2" applyNumberFormat="1" applyFont="1" applyFill="1"/>
    <xf numFmtId="9" fontId="58" fillId="10" borderId="0" xfId="2" applyNumberFormat="1" applyFont="1" applyFill="1"/>
    <xf numFmtId="166" fontId="58" fillId="10" borderId="0" xfId="2" applyNumberFormat="1" applyFont="1" applyFill="1"/>
    <xf numFmtId="166" fontId="14" fillId="0" borderId="0" xfId="2" applyNumberFormat="1" applyFont="1" applyAlignment="1">
      <alignment horizontal="right"/>
    </xf>
    <xf numFmtId="10" fontId="20" fillId="0" borderId="0" xfId="2" applyNumberFormat="1" applyFont="1" applyAlignment="1">
      <alignment horizontal="right"/>
    </xf>
    <xf numFmtId="0" fontId="38" fillId="0" borderId="8" xfId="2" applyFont="1" applyBorder="1"/>
    <xf numFmtId="0" fontId="56" fillId="0" borderId="14" xfId="2" applyFont="1" applyBorder="1"/>
    <xf numFmtId="0" fontId="70" fillId="7" borderId="0" xfId="2" applyFont="1" applyFill="1" applyAlignment="1">
      <alignment horizontal="left"/>
    </xf>
    <xf numFmtId="0" fontId="26" fillId="0" borderId="0" xfId="2" applyFont="1"/>
    <xf numFmtId="0" fontId="27" fillId="0" borderId="0" xfId="2" applyFont="1" applyAlignment="1">
      <alignment horizontal="right"/>
    </xf>
    <xf numFmtId="10" fontId="14" fillId="9" borderId="0" xfId="2" applyNumberFormat="1" applyFont="1" applyFill="1"/>
    <xf numFmtId="0" fontId="60" fillId="0" borderId="0" xfId="2" applyFont="1" applyAlignment="1">
      <alignment horizontal="right"/>
    </xf>
    <xf numFmtId="3" fontId="14" fillId="0" borderId="0" xfId="2" applyNumberFormat="1" applyFont="1"/>
    <xf numFmtId="3" fontId="20" fillId="0" borderId="0" xfId="2" applyNumberFormat="1" applyFont="1"/>
    <xf numFmtId="3" fontId="71" fillId="7" borderId="0" xfId="2" applyNumberFormat="1" applyFont="1" applyFill="1" applyAlignment="1">
      <alignment horizontal="right"/>
    </xf>
    <xf numFmtId="3" fontId="72" fillId="0" borderId="0" xfId="2" applyNumberFormat="1" applyFont="1" applyAlignment="1">
      <alignment horizontal="right"/>
    </xf>
    <xf numFmtId="167" fontId="58" fillId="11" borderId="0" xfId="2" applyNumberFormat="1" applyFont="1" applyFill="1"/>
    <xf numFmtId="167" fontId="14" fillId="11" borderId="0" xfId="2" applyNumberFormat="1" applyFont="1" applyFill="1"/>
    <xf numFmtId="0" fontId="73" fillId="0" borderId="0" xfId="2" applyFont="1"/>
    <xf numFmtId="167" fontId="57" fillId="11" borderId="0" xfId="2" applyNumberFormat="1" applyFont="1" applyFill="1"/>
    <xf numFmtId="167" fontId="41" fillId="11" borderId="0" xfId="2" applyNumberFormat="1" applyFont="1" applyFill="1"/>
    <xf numFmtId="0" fontId="74" fillId="0" borderId="0" xfId="2" applyFont="1"/>
    <xf numFmtId="4" fontId="14" fillId="0" borderId="0" xfId="2" applyNumberFormat="1" applyFont="1" applyAlignment="1">
      <alignment horizontal="right"/>
    </xf>
    <xf numFmtId="10" fontId="58" fillId="10" borderId="0" xfId="2" applyNumberFormat="1" applyFont="1" applyFill="1"/>
    <xf numFmtId="10" fontId="75" fillId="0" borderId="0" xfId="2" applyNumberFormat="1" applyFont="1"/>
    <xf numFmtId="10" fontId="14" fillId="0" borderId="0" xfId="2" applyNumberFormat="1" applyFont="1" applyAlignment="1">
      <alignment horizontal="right"/>
    </xf>
    <xf numFmtId="0" fontId="67" fillId="0" borderId="0" xfId="2" applyFont="1"/>
    <xf numFmtId="168" fontId="16" fillId="0" borderId="0" xfId="2" applyNumberFormat="1" applyFont="1"/>
    <xf numFmtId="0" fontId="76" fillId="0" borderId="0" xfId="2" applyFont="1"/>
    <xf numFmtId="0" fontId="40" fillId="0" borderId="0" xfId="2" applyFont="1"/>
    <xf numFmtId="10" fontId="58" fillId="6" borderId="0" xfId="2" applyNumberFormat="1" applyFont="1" applyFill="1"/>
    <xf numFmtId="0" fontId="75" fillId="0" borderId="0" xfId="2" applyFont="1"/>
    <xf numFmtId="10" fontId="39" fillId="0" borderId="0" xfId="2" applyNumberFormat="1" applyFont="1" applyAlignment="1">
      <alignment horizontal="right"/>
    </xf>
    <xf numFmtId="166" fontId="41" fillId="0" borderId="0" xfId="2" applyNumberFormat="1" applyFont="1"/>
    <xf numFmtId="166" fontId="40" fillId="0" borderId="0" xfId="2" applyNumberFormat="1" applyFont="1"/>
    <xf numFmtId="0" fontId="3" fillId="0" borderId="0" xfId="2" applyFont="1"/>
    <xf numFmtId="166" fontId="77" fillId="0" borderId="7" xfId="2" applyNumberFormat="1" applyFont="1" applyBorder="1" applyAlignment="1">
      <alignment horizontal="right"/>
    </xf>
    <xf numFmtId="166" fontId="77" fillId="0" borderId="8" xfId="2" applyNumberFormat="1" applyFont="1" applyBorder="1" applyAlignment="1">
      <alignment horizontal="right"/>
    </xf>
    <xf numFmtId="2" fontId="14" fillId="0" borderId="0" xfId="2" applyNumberFormat="1" applyFont="1"/>
    <xf numFmtId="0" fontId="67" fillId="6" borderId="0" xfId="2" applyFont="1" applyFill="1"/>
    <xf numFmtId="4" fontId="14" fillId="0" borderId="0" xfId="2" applyNumberFormat="1" applyFont="1"/>
    <xf numFmtId="4" fontId="39" fillId="0" borderId="0" xfId="2" applyNumberFormat="1" applyFont="1"/>
    <xf numFmtId="0" fontId="16" fillId="0" borderId="7" xfId="2" applyFont="1" applyBorder="1"/>
    <xf numFmtId="0" fontId="16" fillId="0" borderId="8" xfId="2" applyFont="1" applyBorder="1"/>
    <xf numFmtId="0" fontId="78" fillId="0" borderId="0" xfId="2" applyFont="1"/>
    <xf numFmtId="0" fontId="79" fillId="0" borderId="0" xfId="2" applyFont="1" applyAlignment="1">
      <alignment horizontal="left"/>
    </xf>
    <xf numFmtId="0" fontId="61" fillId="7" borderId="0" xfId="2" applyFont="1" applyFill="1"/>
    <xf numFmtId="1" fontId="39" fillId="0" borderId="0" xfId="2" applyNumberFormat="1" applyFont="1"/>
    <xf numFmtId="1" fontId="14" fillId="0" borderId="0" xfId="2" applyNumberFormat="1" applyFont="1"/>
    <xf numFmtId="0" fontId="80" fillId="7" borderId="0" xfId="2" applyFont="1" applyFill="1"/>
    <xf numFmtId="0" fontId="81" fillId="0" borderId="0" xfId="2" applyFont="1"/>
    <xf numFmtId="0" fontId="82" fillId="0" borderId="0" xfId="2" applyFont="1"/>
    <xf numFmtId="0" fontId="71" fillId="0" borderId="0" xfId="2" applyFont="1"/>
    <xf numFmtId="0" fontId="83" fillId="0" borderId="0" xfId="2" applyFont="1" applyAlignment="1">
      <alignment horizontal="right"/>
    </xf>
    <xf numFmtId="0" fontId="84" fillId="0" borderId="0" xfId="2" applyFont="1"/>
    <xf numFmtId="0" fontId="2" fillId="0" borderId="0" xfId="2" applyFont="1"/>
    <xf numFmtId="0" fontId="85" fillId="0" borderId="0" xfId="2" applyFont="1" applyAlignment="1">
      <alignment horizontal="right"/>
    </xf>
    <xf numFmtId="0" fontId="86" fillId="0" borderId="0" xfId="2" applyFont="1" applyAlignment="1">
      <alignment horizontal="right"/>
    </xf>
    <xf numFmtId="0" fontId="82" fillId="12" borderId="0" xfId="2" applyFont="1" applyFill="1"/>
    <xf numFmtId="0" fontId="3" fillId="12" borderId="0" xfId="2" applyFont="1" applyFill="1"/>
    <xf numFmtId="0" fontId="83" fillId="12" borderId="0" xfId="2" applyFont="1" applyFill="1" applyAlignment="1">
      <alignment horizontal="right"/>
    </xf>
    <xf numFmtId="168" fontId="71" fillId="0" borderId="0" xfId="2" applyNumberFormat="1" applyFont="1"/>
    <xf numFmtId="2" fontId="71" fillId="0" borderId="0" xfId="2" applyNumberFormat="1" applyFont="1"/>
    <xf numFmtId="166" fontId="13" fillId="0" borderId="0" xfId="2" applyNumberFormat="1"/>
    <xf numFmtId="2" fontId="3" fillId="0" borderId="0" xfId="2" applyNumberFormat="1" applyFont="1"/>
    <xf numFmtId="2" fontId="30" fillId="0" borderId="0" xfId="2" applyNumberFormat="1" applyFont="1"/>
    <xf numFmtId="0" fontId="87" fillId="0" borderId="0" xfId="2" applyFont="1"/>
    <xf numFmtId="0" fontId="88" fillId="0" borderId="0" xfId="2" applyFont="1" applyAlignment="1">
      <alignment horizontal="right"/>
    </xf>
    <xf numFmtId="0" fontId="89" fillId="0" borderId="0" xfId="2" applyFont="1"/>
    <xf numFmtId="0" fontId="90" fillId="0" borderId="0" xfId="2" applyFont="1"/>
    <xf numFmtId="168" fontId="3" fillId="0" borderId="0" xfId="2" applyNumberFormat="1" applyFont="1"/>
    <xf numFmtId="0" fontId="91" fillId="0" borderId="0" xfId="2" applyFont="1"/>
    <xf numFmtId="0" fontId="92" fillId="0" borderId="0" xfId="2" applyFont="1"/>
    <xf numFmtId="0" fontId="93" fillId="0" borderId="0" xfId="2" applyFont="1"/>
    <xf numFmtId="4" fontId="3" fillId="0" borderId="0" xfId="2" applyNumberFormat="1" applyFont="1"/>
    <xf numFmtId="0" fontId="94" fillId="0" borderId="0" xfId="2" applyFont="1"/>
    <xf numFmtId="0" fontId="95" fillId="0" borderId="0" xfId="2" applyFont="1"/>
  </cellXfs>
  <cellStyles count="3">
    <cellStyle name="Normal" xfId="0" builtinId="0"/>
    <cellStyle name="Normal 2" xfId="2" xr:uid="{A1785FA4-E539-4FBF-9EDD-794282E7F841}"/>
    <cellStyle name="Normal 3" xfId="1" xr:uid="{FBB53648-24AE-4544-998A-E569DF95B8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171450</xdr:colOff>
      <xdr:row>124</xdr:row>
      <xdr:rowOff>161925</xdr:rowOff>
    </xdr:from>
    <xdr:ext cx="2562225" cy="1123950"/>
    <xdr:pic>
      <xdr:nvPicPr>
        <xdr:cNvPr id="2" name="image3.png" title="图片">
          <a:extLst>
            <a:ext uri="{FF2B5EF4-FFF2-40B4-BE49-F238E27FC236}">
              <a16:creationId xmlns:a16="http://schemas.microsoft.com/office/drawing/2014/main" id="{EB19A7EF-1A71-4265-8CED-F764975EE2D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92350" y="22168485"/>
          <a:ext cx="2562225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352425</xdr:colOff>
      <xdr:row>146</xdr:row>
      <xdr:rowOff>133350</xdr:rowOff>
    </xdr:from>
    <xdr:ext cx="2200275" cy="14001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D1541542-E3D7-408C-A076-AF5FF5F83F0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173325" y="26330910"/>
          <a:ext cx="220027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904875</xdr:colOff>
      <xdr:row>250</xdr:row>
      <xdr:rowOff>85725</xdr:rowOff>
    </xdr:from>
    <xdr:ext cx="3143250" cy="1171575"/>
    <xdr:pic>
      <xdr:nvPicPr>
        <xdr:cNvPr id="4" name="image2.png" title="图片">
          <a:extLst>
            <a:ext uri="{FF2B5EF4-FFF2-40B4-BE49-F238E27FC236}">
              <a16:creationId xmlns:a16="http://schemas.microsoft.com/office/drawing/2014/main" id="{9BA1300D-95E1-49E5-A6C9-B60B70850E95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664815" y="46270545"/>
          <a:ext cx="3143250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351</xdr:row>
      <xdr:rowOff>0</xdr:rowOff>
    </xdr:from>
    <xdr:ext cx="4876800" cy="1885950"/>
    <xdr:pic>
      <xdr:nvPicPr>
        <xdr:cNvPr id="5" name="image4.png" title="Image">
          <a:extLst>
            <a:ext uri="{FF2B5EF4-FFF2-40B4-BE49-F238E27FC236}">
              <a16:creationId xmlns:a16="http://schemas.microsoft.com/office/drawing/2014/main" id="{521B5C43-9692-410B-9870-9ED30C59523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13420" y="65676780"/>
          <a:ext cx="4876800" cy="18859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</xdr:colOff>
      <xdr:row>1</xdr:row>
      <xdr:rowOff>106681</xdr:rowOff>
    </xdr:from>
    <xdr:to>
      <xdr:col>1</xdr:col>
      <xdr:colOff>3907155</xdr:colOff>
      <xdr:row>1</xdr:row>
      <xdr:rowOff>1332316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54EFE-4104-7A74-D50F-AA731518A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515" y="287656"/>
          <a:ext cx="3830955" cy="1225635"/>
        </a:xfrm>
        <a:prstGeom prst="rect">
          <a:avLst/>
        </a:prstGeom>
      </xdr:spPr>
    </xdr:pic>
    <xdr:clientData/>
  </xdr:twoCellAnchor>
  <xdr:twoCellAnchor editAs="oneCell">
    <xdr:from>
      <xdr:col>2</xdr:col>
      <xdr:colOff>22859</xdr:colOff>
      <xdr:row>1</xdr:row>
      <xdr:rowOff>36195</xdr:rowOff>
    </xdr:from>
    <xdr:to>
      <xdr:col>2</xdr:col>
      <xdr:colOff>5704614</xdr:colOff>
      <xdr:row>1</xdr:row>
      <xdr:rowOff>2438400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D0CDBE-CE78-06C5-0265-EF004FDC2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2509" y="217170"/>
          <a:ext cx="5750335" cy="24022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3146</xdr:colOff>
      <xdr:row>2</xdr:row>
      <xdr:rowOff>972722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5B4FF1-140B-A3B6-7D82-5A92DC6EB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031" y="3100754"/>
          <a:ext cx="4142711" cy="961292"/>
        </a:xfrm>
        <a:prstGeom prst="rect">
          <a:avLst/>
        </a:prstGeom>
      </xdr:spPr>
    </xdr:pic>
    <xdr:clientData/>
  </xdr:twoCellAnchor>
  <xdr:twoCellAnchor editAs="oneCell">
    <xdr:from>
      <xdr:col>1</xdr:col>
      <xdr:colOff>73834</xdr:colOff>
      <xdr:row>2</xdr:row>
      <xdr:rowOff>953921</xdr:rowOff>
    </xdr:from>
    <xdr:to>
      <xdr:col>2</xdr:col>
      <xdr:colOff>19885</xdr:colOff>
      <xdr:row>2</xdr:row>
      <xdr:rowOff>3602645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94BDFD-4FE4-945D-05FF-335311BB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5591" y="4054930"/>
          <a:ext cx="4152622" cy="2660611"/>
        </a:xfrm>
        <a:prstGeom prst="rect">
          <a:avLst/>
        </a:prstGeom>
      </xdr:spPr>
    </xdr:pic>
    <xdr:clientData/>
  </xdr:twoCellAnchor>
  <xdr:twoCellAnchor editAs="oneCell">
    <xdr:from>
      <xdr:col>4</xdr:col>
      <xdr:colOff>40657</xdr:colOff>
      <xdr:row>2</xdr:row>
      <xdr:rowOff>258759</xdr:rowOff>
    </xdr:from>
    <xdr:to>
      <xdr:col>11</xdr:col>
      <xdr:colOff>448252</xdr:colOff>
      <xdr:row>2</xdr:row>
      <xdr:rowOff>1421996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B1A899-AA82-6D6F-C21F-0FE62C023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87339" y="3341395"/>
          <a:ext cx="4650549" cy="1163237"/>
        </a:xfrm>
        <a:prstGeom prst="rect">
          <a:avLst/>
        </a:prstGeom>
      </xdr:spPr>
    </xdr:pic>
    <xdr:clientData/>
  </xdr:twoCellAnchor>
  <xdr:twoCellAnchor editAs="oneCell">
    <xdr:from>
      <xdr:col>3</xdr:col>
      <xdr:colOff>130849</xdr:colOff>
      <xdr:row>1</xdr:row>
      <xdr:rowOff>723515</xdr:rowOff>
    </xdr:from>
    <xdr:to>
      <xdr:col>3</xdr:col>
      <xdr:colOff>5657254</xdr:colOff>
      <xdr:row>1</xdr:row>
      <xdr:rowOff>1447415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7AB47C2-46DE-4CC2-802F-DFBFAF976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06667" y="908242"/>
          <a:ext cx="5534025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163925</xdr:colOff>
      <xdr:row>3</xdr:row>
      <xdr:rowOff>88188</xdr:rowOff>
    </xdr:from>
    <xdr:to>
      <xdr:col>2</xdr:col>
      <xdr:colOff>436554</xdr:colOff>
      <xdr:row>3</xdr:row>
      <xdr:rowOff>2379249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30E460-210B-3693-12EF-C758882B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7338" y="6863362"/>
          <a:ext cx="4495434" cy="2279631"/>
        </a:xfrm>
        <a:prstGeom prst="rect">
          <a:avLst/>
        </a:prstGeom>
      </xdr:spPr>
    </xdr:pic>
    <xdr:clientData/>
  </xdr:twoCellAnchor>
  <xdr:twoCellAnchor editAs="oneCell">
    <xdr:from>
      <xdr:col>2</xdr:col>
      <xdr:colOff>34636</xdr:colOff>
      <xdr:row>3</xdr:row>
      <xdr:rowOff>165564</xdr:rowOff>
    </xdr:from>
    <xdr:to>
      <xdr:col>2</xdr:col>
      <xdr:colOff>5057746</xdr:colOff>
      <xdr:row>3</xdr:row>
      <xdr:rowOff>1804902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04FF45-014E-D072-497A-7FC5744C9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39591" y="6919655"/>
          <a:ext cx="5023110" cy="1639338"/>
        </a:xfrm>
        <a:prstGeom prst="rect">
          <a:avLst/>
        </a:prstGeom>
      </xdr:spPr>
    </xdr:pic>
    <xdr:clientData/>
  </xdr:twoCellAnchor>
  <xdr:twoCellAnchor editAs="oneCell">
    <xdr:from>
      <xdr:col>3</xdr:col>
      <xdr:colOff>23404</xdr:colOff>
      <xdr:row>2</xdr:row>
      <xdr:rowOff>3503023</xdr:rowOff>
    </xdr:from>
    <xdr:to>
      <xdr:col>3</xdr:col>
      <xdr:colOff>5510076</xdr:colOff>
      <xdr:row>4</xdr:row>
      <xdr:rowOff>63186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0B54940-904A-A687-ECB6-870C407D2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95511" y="6591844"/>
          <a:ext cx="5486672" cy="26833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anlauhf\AppData\Local\Microsoft\Windows\INetCache\Content.Outlook\WIYD2S90\GJ%20Datasheet_1020_CIC.xlsx" TargetMode="External"/><Relationship Id="rId1" Type="http://schemas.openxmlformats.org/officeDocument/2006/relationships/externalLinkPath" Target="/Users/alanlauhf/AppData/Local/Microsoft/Windows/INetCache/Content.Outlook/WIYD2S90/GJ%20Datasheet_1020_C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数字人市场规模"/>
      <sheetName val="竞争"/>
      <sheetName val="Sheet2"/>
      <sheetName val="废稿"/>
    </sheetNames>
    <sheetDataSet>
      <sheetData sheetId="0">
        <row r="7">
          <cell r="M7">
            <v>4.0681057285201847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zc.cuc.edu.cn/2023/0928/c1746a212211/page.ht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pdf.dfcfw.com/pdf/H3_AP202501161641945784_1.pdf" TargetMode="External"/><Relationship Id="rId7" Type="http://schemas.openxmlformats.org/officeDocument/2006/relationships/hyperlink" Target="http://www.moe.gov.cn/jyb_sjzl/sjzl_fztjgb/202410/t20241024_1159002.html" TargetMode="External"/><Relationship Id="rId12" Type="http://schemas.openxmlformats.org/officeDocument/2006/relationships/hyperlink" Target="https://36kr.com/p/3371872371299078" TargetMode="External"/><Relationship Id="rId2" Type="http://schemas.openxmlformats.org/officeDocument/2006/relationships/hyperlink" Target="https://xkz.nfra.gov.cn/jr/" TargetMode="External"/><Relationship Id="rId1" Type="http://schemas.openxmlformats.org/officeDocument/2006/relationships/hyperlink" Target="https://finance.eastmoney.com/a/202409063177658781.html" TargetMode="External"/><Relationship Id="rId6" Type="http://schemas.openxmlformats.org/officeDocument/2006/relationships/hyperlink" Target="http://www.moe.gov.cn/jyb_sjzl/sjzl_fztjgb/202410/t20241024_1159002.html" TargetMode="External"/><Relationship Id="rId11" Type="http://schemas.openxmlformats.org/officeDocument/2006/relationships/hyperlink" Target="https://finance.sina.com.cn/tech/digi/2024-10-11/doc-incseytv4425040.shtml" TargetMode="External"/><Relationship Id="rId5" Type="http://schemas.openxmlformats.org/officeDocument/2006/relationships/hyperlink" Target="https://www.nhc.gov.cn/mohwsbwstjxxzx/tjtjnj/202501/8193a8edda0f49df80eb5a8ef5e2547c/files/1740022743894_10341.pdf" TargetMode="External"/><Relationship Id="rId10" Type="http://schemas.openxmlformats.org/officeDocument/2006/relationships/hyperlink" Target="https://ciecc.ec.com.cn/upload/article/20250508/20250508102036216.pdf" TargetMode="External"/><Relationship Id="rId4" Type="http://schemas.openxmlformats.org/officeDocument/2006/relationships/hyperlink" Target="https://fjsl.com.cn/info/26539.jspx" TargetMode="External"/><Relationship Id="rId9" Type="http://schemas.openxmlformats.org/officeDocument/2006/relationships/hyperlink" Target="https://finance.sina.com.cn/tech/digi/2025-06-26/doc-infcktkp3628519.shtml?froms=ggmp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etlatka.com/companies/uneeq" TargetMode="External"/><Relationship Id="rId2" Type="http://schemas.openxmlformats.org/officeDocument/2006/relationships/hyperlink" Target="https://getlatka.com/companies/heygen" TargetMode="External"/><Relationship Id="rId1" Type="http://schemas.openxmlformats.org/officeDocument/2006/relationships/hyperlink" Target="https://getlatka.com/companies/synthesia.io" TargetMode="External"/><Relationship Id="rId4" Type="http://schemas.openxmlformats.org/officeDocument/2006/relationships/hyperlink" Target="https://growjo.com/company/Soul_Machine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C0DD-7CFA-495E-876A-A0C644CBC4AC}">
  <sheetPr>
    <pageSetUpPr fitToPage="1"/>
  </sheetPr>
  <dimension ref="A1:J29"/>
  <sheetViews>
    <sheetView tabSelected="1" zoomScaleNormal="100" workbookViewId="0">
      <pane xSplit="3" ySplit="7" topLeftCell="D8" activePane="bottomRight" state="frozen"/>
      <selection pane="bottomRight" activeCell="D18" sqref="D18"/>
      <selection pane="bottomLeft" activeCell="A6" sqref="A6"/>
      <selection pane="topRight" activeCell="D1" sqref="D1"/>
    </sheetView>
  </sheetViews>
  <sheetFormatPr defaultColWidth="8.85546875" defaultRowHeight="13.15"/>
  <cols>
    <col min="1" max="1" width="4.28515625" style="3" customWidth="1"/>
    <col min="2" max="2" width="28.7109375" style="3" customWidth="1"/>
    <col min="3" max="3" width="24.5703125" style="3" customWidth="1"/>
    <col min="4" max="4" width="29.28515625" style="3" customWidth="1"/>
    <col min="5" max="5" width="26.28515625" style="3" customWidth="1"/>
    <col min="6" max="6" width="42" style="3" customWidth="1"/>
    <col min="7" max="7" width="20.42578125" style="3" customWidth="1"/>
    <col min="8" max="8" width="16.85546875" style="3" customWidth="1"/>
    <col min="9" max="9" width="42.28515625" style="3" customWidth="1"/>
    <col min="10" max="10" width="21.28515625" style="3" customWidth="1"/>
    <col min="11" max="16384" width="8.85546875" style="3"/>
  </cols>
  <sheetData>
    <row r="1" spans="1:10">
      <c r="B1" s="1" t="s">
        <v>0</v>
      </c>
      <c r="D1" s="2"/>
      <c r="E1" s="2"/>
      <c r="F1" s="2"/>
      <c r="G1" s="2"/>
    </row>
    <row r="2" spans="1:10">
      <c r="B2" s="11" t="s">
        <v>1</v>
      </c>
      <c r="D2" s="4"/>
      <c r="E2" s="4"/>
      <c r="F2" s="4"/>
      <c r="G2" s="4"/>
    </row>
    <row r="3" spans="1:10">
      <c r="B3" s="12" t="s">
        <v>2</v>
      </c>
    </row>
    <row r="4" spans="1:10">
      <c r="B4" s="17" t="s">
        <v>3</v>
      </c>
    </row>
    <row r="5" spans="1:10">
      <c r="B5" s="12"/>
    </row>
    <row r="6" spans="1:10"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4" t="s">
        <v>10</v>
      </c>
    </row>
    <row r="7" spans="1:10" ht="49.9" customHeight="1"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6" t="s">
        <v>17</v>
      </c>
    </row>
    <row r="8" spans="1:10" ht="49.9" customHeight="1">
      <c r="B8" s="7" t="s">
        <v>18</v>
      </c>
      <c r="C8" s="7" t="s">
        <v>19</v>
      </c>
      <c r="D8" s="7" t="s">
        <v>20</v>
      </c>
      <c r="E8" s="8" t="s">
        <v>21</v>
      </c>
      <c r="F8" s="8" t="s">
        <v>21</v>
      </c>
      <c r="G8" s="8" t="s">
        <v>22</v>
      </c>
      <c r="H8" s="8"/>
    </row>
    <row r="9" spans="1:10" ht="49.9" customHeight="1">
      <c r="B9" s="7" t="s">
        <v>23</v>
      </c>
      <c r="C9" s="7" t="s">
        <v>19</v>
      </c>
      <c r="D9" s="7" t="s">
        <v>20</v>
      </c>
      <c r="E9" s="8" t="s">
        <v>21</v>
      </c>
      <c r="F9" s="8" t="s">
        <v>21</v>
      </c>
      <c r="G9" s="8" t="s">
        <v>22</v>
      </c>
      <c r="H9" s="8"/>
    </row>
    <row r="10" spans="1:10" ht="49.9" customHeight="1">
      <c r="B10" s="7" t="s">
        <v>24</v>
      </c>
      <c r="C10" s="7" t="s">
        <v>19</v>
      </c>
      <c r="D10" s="7" t="s">
        <v>20</v>
      </c>
      <c r="E10" s="8" t="s">
        <v>21</v>
      </c>
      <c r="F10" s="8" t="s">
        <v>21</v>
      </c>
      <c r="G10" s="8" t="s">
        <v>22</v>
      </c>
      <c r="H10" s="8"/>
    </row>
    <row r="11" spans="1:10" ht="72" customHeight="1">
      <c r="B11" s="7" t="s">
        <v>25</v>
      </c>
      <c r="C11" s="7" t="s">
        <v>19</v>
      </c>
      <c r="D11" s="7" t="s">
        <v>26</v>
      </c>
      <c r="E11" s="7" t="s">
        <v>27</v>
      </c>
      <c r="F11" s="7" t="s">
        <v>28</v>
      </c>
      <c r="G11" s="8" t="s">
        <v>22</v>
      </c>
      <c r="H11" s="13"/>
    </row>
    <row r="12" spans="1:10" s="10" customFormat="1" ht="73.900000000000006" customHeight="1">
      <c r="A12" s="9"/>
      <c r="B12" s="7" t="s">
        <v>29</v>
      </c>
      <c r="C12" s="7" t="s">
        <v>19</v>
      </c>
      <c r="D12" s="7" t="s">
        <v>20</v>
      </c>
      <c r="E12" s="8" t="s">
        <v>21</v>
      </c>
      <c r="F12" s="8" t="s">
        <v>21</v>
      </c>
      <c r="G12" s="8" t="s">
        <v>22</v>
      </c>
      <c r="H12" s="13"/>
      <c r="I12" s="15"/>
      <c r="J12" s="9"/>
    </row>
    <row r="13" spans="1:10" s="10" customFormat="1" ht="73.900000000000006" customHeight="1">
      <c r="A13" s="9"/>
      <c r="B13" s="7" t="s">
        <v>30</v>
      </c>
      <c r="C13" s="7" t="s">
        <v>19</v>
      </c>
      <c r="D13" s="7" t="s">
        <v>20</v>
      </c>
      <c r="E13" s="8" t="s">
        <v>21</v>
      </c>
      <c r="F13" s="8" t="s">
        <v>21</v>
      </c>
      <c r="G13" s="8" t="s">
        <v>22</v>
      </c>
      <c r="H13" s="13"/>
      <c r="I13" s="15"/>
      <c r="J13" s="9"/>
    </row>
    <row r="14" spans="1:10" s="10" customFormat="1" ht="73.900000000000006" customHeight="1">
      <c r="A14" s="9"/>
      <c r="B14" s="7" t="s">
        <v>31</v>
      </c>
      <c r="C14" s="7" t="s">
        <v>19</v>
      </c>
      <c r="D14" s="7" t="s">
        <v>20</v>
      </c>
      <c r="E14" s="8" t="s">
        <v>21</v>
      </c>
      <c r="F14" s="8" t="s">
        <v>21</v>
      </c>
      <c r="G14" s="8" t="s">
        <v>22</v>
      </c>
      <c r="H14" s="13"/>
      <c r="I14" s="15"/>
      <c r="J14" s="9"/>
    </row>
    <row r="15" spans="1:10" s="10" customFormat="1" ht="73.900000000000006" customHeight="1">
      <c r="A15" s="9"/>
      <c r="B15" s="7" t="s">
        <v>32</v>
      </c>
      <c r="C15" s="7" t="s">
        <v>19</v>
      </c>
      <c r="D15" s="7" t="s">
        <v>20</v>
      </c>
      <c r="E15" s="8" t="s">
        <v>21</v>
      </c>
      <c r="F15" s="8" t="s">
        <v>21</v>
      </c>
      <c r="G15" s="8" t="s">
        <v>22</v>
      </c>
      <c r="H15" s="13"/>
      <c r="I15" s="15"/>
      <c r="J15" s="9"/>
    </row>
    <row r="16" spans="1:10" s="10" customFormat="1" ht="73.900000000000006" customHeight="1">
      <c r="A16" s="9"/>
      <c r="B16" s="7" t="s">
        <v>33</v>
      </c>
      <c r="C16" s="7" t="s">
        <v>19</v>
      </c>
      <c r="D16" s="7" t="s">
        <v>20</v>
      </c>
      <c r="E16" s="8" t="s">
        <v>21</v>
      </c>
      <c r="F16" s="8" t="s">
        <v>21</v>
      </c>
      <c r="G16" s="8" t="s">
        <v>22</v>
      </c>
      <c r="H16" s="13"/>
      <c r="I16" s="15"/>
      <c r="J16" s="9"/>
    </row>
    <row r="17" spans="1:10" s="10" customFormat="1" ht="73.900000000000006" customHeight="1">
      <c r="A17" s="9"/>
      <c r="B17" s="7" t="s">
        <v>34</v>
      </c>
      <c r="C17" s="7" t="s">
        <v>19</v>
      </c>
      <c r="D17" s="7" t="s">
        <v>20</v>
      </c>
      <c r="E17" s="8" t="s">
        <v>21</v>
      </c>
      <c r="F17" s="8" t="s">
        <v>21</v>
      </c>
      <c r="G17" s="8" t="s">
        <v>22</v>
      </c>
      <c r="H17" s="13"/>
      <c r="I17" s="15"/>
      <c r="J17" s="9"/>
    </row>
    <row r="18" spans="1:10" s="10" customFormat="1" ht="73.900000000000006" customHeight="1">
      <c r="A18" s="9"/>
      <c r="B18" s="7" t="s">
        <v>35</v>
      </c>
      <c r="C18" s="7" t="s">
        <v>19</v>
      </c>
      <c r="D18" s="7" t="s">
        <v>20</v>
      </c>
      <c r="E18" s="8" t="s">
        <v>21</v>
      </c>
      <c r="F18" s="8" t="s">
        <v>21</v>
      </c>
      <c r="G18" s="8" t="s">
        <v>22</v>
      </c>
      <c r="H18" s="13"/>
      <c r="I18" s="15"/>
      <c r="J18" s="9"/>
    </row>
    <row r="19" spans="1:10" s="10" customFormat="1" ht="49.9" customHeight="1">
      <c r="A19" s="9"/>
      <c r="B19" s="7" t="s">
        <v>36</v>
      </c>
      <c r="C19" s="7" t="s">
        <v>19</v>
      </c>
      <c r="D19" s="7" t="s">
        <v>37</v>
      </c>
      <c r="E19" s="8" t="s">
        <v>21</v>
      </c>
      <c r="F19" s="8" t="s">
        <v>21</v>
      </c>
      <c r="G19" s="8" t="s">
        <v>22</v>
      </c>
      <c r="H19" s="13"/>
      <c r="I19" s="15"/>
      <c r="J19" s="9"/>
    </row>
    <row r="20" spans="1:10" s="10" customFormat="1" ht="49.9" customHeight="1">
      <c r="A20" s="9"/>
      <c r="B20" s="7" t="s">
        <v>38</v>
      </c>
      <c r="C20" s="7" t="s">
        <v>19</v>
      </c>
      <c r="D20" s="7" t="s">
        <v>20</v>
      </c>
      <c r="E20" s="8" t="s">
        <v>21</v>
      </c>
      <c r="F20" s="8" t="s">
        <v>21</v>
      </c>
      <c r="G20" s="8" t="s">
        <v>22</v>
      </c>
      <c r="H20" s="13"/>
      <c r="I20" s="15"/>
      <c r="J20" s="9"/>
    </row>
    <row r="22" spans="1:10">
      <c r="B22" s="5" t="s">
        <v>39</v>
      </c>
      <c r="E22" s="5" t="s">
        <v>40</v>
      </c>
    </row>
    <row r="25" spans="1:10">
      <c r="F25" s="5"/>
      <c r="G25" s="5"/>
    </row>
    <row r="26" spans="1:10">
      <c r="B26" s="6"/>
      <c r="C26" s="6"/>
      <c r="E26" s="6"/>
    </row>
    <row r="27" spans="1:10">
      <c r="B27" s="3" t="s">
        <v>41</v>
      </c>
      <c r="E27" s="3" t="s">
        <v>41</v>
      </c>
    </row>
    <row r="28" spans="1:10">
      <c r="B28" s="3" t="s">
        <v>42</v>
      </c>
      <c r="E28" s="3" t="s">
        <v>43</v>
      </c>
    </row>
    <row r="29" spans="1:10">
      <c r="B29" s="3" t="s">
        <v>44</v>
      </c>
      <c r="E29" s="3" t="s">
        <v>44</v>
      </c>
    </row>
  </sheetData>
  <pageMargins left="0.7" right="0.7" top="0.75" bottom="0.75" header="0.3" footer="0.3"/>
  <pageSetup paperSize="9" scale="74" fitToHeight="0" orientation="landscape" r:id="rId1"/>
  <headerFooter>
    <oddHeader>&amp;L&amp;9&amp;UAppendix 6.6 - Industry Overview Checklist (Dec 2021)</oddHeader>
    <oddFooter>&amp;L&amp;9&amp;Z&amp;F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8A04-201D-4978-AFEF-6C39B850839B}">
  <dimension ref="A1:AS1081"/>
  <sheetViews>
    <sheetView showGridLines="0" zoomScale="90" zoomScaleNormal="90" workbookViewId="0">
      <pane xSplit="7" ySplit="4" topLeftCell="H59" activePane="bottomRight" state="frozen"/>
      <selection pane="bottomRight" activeCell="H71" sqref="H71"/>
      <selection pane="bottomLeft" activeCell="A5" sqref="A5"/>
      <selection pane="topRight" activeCell="H1" sqref="H1"/>
    </sheetView>
  </sheetViews>
  <sheetFormatPr defaultColWidth="12.7109375" defaultRowHeight="15" customHeight="1" outlineLevelRow="1"/>
  <cols>
    <col min="1" max="1" width="1.7109375" style="32" customWidth="1"/>
    <col min="2" max="2" width="4.42578125" style="32" customWidth="1"/>
    <col min="3" max="3" width="4.7109375" style="32" customWidth="1"/>
    <col min="4" max="6" width="3.7109375" style="32" customWidth="1"/>
    <col min="7" max="7" width="17.85546875" style="32" customWidth="1"/>
    <col min="8" max="8" width="15.140625" style="32" customWidth="1"/>
    <col min="9" max="9" width="5.85546875" style="32" customWidth="1"/>
    <col min="10" max="19" width="12" style="32" customWidth="1"/>
    <col min="20" max="23" width="6.7109375" style="32" customWidth="1"/>
    <col min="24" max="24" width="8.28515625" style="32" customWidth="1"/>
    <col min="25" max="26" width="12.28515625" style="32" customWidth="1"/>
    <col min="27" max="45" width="6.7109375" style="32" customWidth="1"/>
    <col min="46" max="16384" width="12.7109375" style="32"/>
  </cols>
  <sheetData>
    <row r="1" spans="1:45" ht="12.75" customHeight="1">
      <c r="A1" s="20"/>
      <c r="B1" s="21"/>
      <c r="C1" s="22"/>
      <c r="D1" s="23"/>
      <c r="E1" s="23"/>
      <c r="F1" s="23"/>
      <c r="G1" s="24"/>
      <c r="H1" s="24"/>
      <c r="I1" s="24"/>
      <c r="J1" s="25"/>
      <c r="K1" s="23"/>
      <c r="L1" s="23"/>
      <c r="M1" s="23"/>
      <c r="N1" s="23"/>
      <c r="O1" s="23"/>
      <c r="P1" s="23"/>
      <c r="Q1" s="23"/>
      <c r="R1" s="26"/>
      <c r="S1" s="27"/>
      <c r="T1" s="23"/>
      <c r="U1" s="23"/>
      <c r="V1" s="28"/>
      <c r="W1" s="29"/>
      <c r="X1" s="30"/>
      <c r="Y1" s="31"/>
      <c r="Z1" s="31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</row>
    <row r="2" spans="1:45" ht="12.75" customHeight="1">
      <c r="A2" s="20"/>
      <c r="B2" s="21"/>
      <c r="C2" s="22"/>
      <c r="D2" s="23"/>
      <c r="E2" s="23"/>
      <c r="F2" s="23"/>
      <c r="G2" s="24"/>
      <c r="H2" s="24"/>
      <c r="I2" s="24"/>
      <c r="J2" s="25"/>
      <c r="K2" s="23"/>
      <c r="L2" s="23"/>
      <c r="M2" s="33" t="s">
        <v>45</v>
      </c>
      <c r="N2" s="34" t="s">
        <v>46</v>
      </c>
      <c r="O2" s="31" t="s">
        <v>47</v>
      </c>
      <c r="P2" s="35" t="s">
        <v>48</v>
      </c>
      <c r="Q2" s="36" t="s">
        <v>49</v>
      </c>
      <c r="R2" s="23"/>
      <c r="S2" s="23"/>
      <c r="T2" s="23"/>
      <c r="U2" s="23"/>
      <c r="V2" s="37"/>
      <c r="W2" s="38"/>
      <c r="X2" s="30"/>
      <c r="Y2" s="31"/>
      <c r="Z2" s="31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</row>
    <row r="3" spans="1:45" ht="12.75" customHeight="1">
      <c r="A3" s="20"/>
      <c r="B3" s="21"/>
      <c r="C3" s="22"/>
      <c r="D3" s="22"/>
      <c r="E3" s="22"/>
      <c r="F3" s="22"/>
      <c r="G3" s="24"/>
      <c r="H3" s="24"/>
      <c r="I3" s="24"/>
      <c r="J3" s="25"/>
      <c r="K3" s="39"/>
      <c r="L3" s="39"/>
      <c r="M3" s="40" t="s">
        <v>50</v>
      </c>
      <c r="N3" s="41"/>
      <c r="O3" s="42"/>
      <c r="P3" s="43"/>
      <c r="Q3" s="43"/>
      <c r="R3" s="43"/>
      <c r="S3" s="43"/>
      <c r="T3" s="22"/>
      <c r="U3" s="22"/>
      <c r="V3" s="44" t="s">
        <v>51</v>
      </c>
      <c r="W3" s="45" t="s">
        <v>51</v>
      </c>
      <c r="X3" s="46"/>
      <c r="Y3" s="21"/>
      <c r="Z3" s="21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</row>
    <row r="4" spans="1:45" ht="12.75" customHeight="1">
      <c r="A4" s="20"/>
      <c r="B4" s="21"/>
      <c r="C4" s="22"/>
      <c r="D4" s="23"/>
      <c r="E4" s="23"/>
      <c r="F4" s="23"/>
      <c r="G4" s="24"/>
      <c r="H4" s="24" t="s">
        <v>52</v>
      </c>
      <c r="I4" s="24"/>
      <c r="J4" s="46">
        <v>2021</v>
      </c>
      <c r="K4" s="46">
        <v>2022</v>
      </c>
      <c r="L4" s="46">
        <v>2023</v>
      </c>
      <c r="M4" s="46">
        <v>2024</v>
      </c>
      <c r="N4" s="46" t="s">
        <v>53</v>
      </c>
      <c r="O4" s="46" t="s">
        <v>54</v>
      </c>
      <c r="P4" s="46" t="s">
        <v>55</v>
      </c>
      <c r="Q4" s="46" t="s">
        <v>56</v>
      </c>
      <c r="R4" s="46" t="s">
        <v>57</v>
      </c>
      <c r="S4" s="46" t="s">
        <v>58</v>
      </c>
      <c r="T4" s="23"/>
      <c r="U4" s="23"/>
      <c r="V4" s="37" t="s">
        <v>59</v>
      </c>
      <c r="W4" s="38" t="s">
        <v>60</v>
      </c>
      <c r="X4" s="30"/>
      <c r="Y4" s="21" t="s">
        <v>61</v>
      </c>
      <c r="Z4" s="47" t="s">
        <v>62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</row>
    <row r="5" spans="1:45" ht="12.75" customHeight="1">
      <c r="A5" s="20"/>
      <c r="B5" s="48"/>
      <c r="C5" s="49"/>
      <c r="D5" s="50" t="s">
        <v>63</v>
      </c>
      <c r="E5" s="49"/>
      <c r="F5" s="51"/>
      <c r="G5" s="49"/>
      <c r="H5" s="52"/>
      <c r="I5" s="52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53"/>
      <c r="W5" s="54"/>
      <c r="X5" s="55"/>
      <c r="Y5" s="56"/>
      <c r="Z5" s="56"/>
      <c r="AA5" s="49"/>
      <c r="AB5" s="49"/>
      <c r="AC5" s="49"/>
      <c r="AD5" s="49"/>
      <c r="AE5" s="49"/>
      <c r="AF5" s="49"/>
      <c r="AG5" s="49"/>
      <c r="AH5" s="49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</row>
    <row r="6" spans="1:45" ht="12.75" customHeight="1">
      <c r="A6" s="58"/>
      <c r="B6" s="59"/>
      <c r="C6" s="58"/>
      <c r="D6" s="58"/>
      <c r="F6" s="58"/>
      <c r="G6" s="60"/>
      <c r="H6" s="60"/>
      <c r="I6" s="60"/>
      <c r="J6" s="61"/>
      <c r="K6" s="62"/>
      <c r="L6" s="62"/>
      <c r="M6" s="62"/>
      <c r="N6" s="62"/>
      <c r="O6" s="62"/>
      <c r="P6" s="62"/>
      <c r="Q6" s="62"/>
      <c r="R6" s="62"/>
      <c r="S6" s="58"/>
      <c r="T6" s="58"/>
      <c r="U6" s="58"/>
      <c r="V6" s="63"/>
      <c r="W6" s="64"/>
      <c r="X6" s="65"/>
      <c r="Y6" s="59"/>
      <c r="Z6" s="59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</row>
    <row r="7" spans="1:45" ht="12.4" customHeight="1">
      <c r="A7" s="20"/>
      <c r="B7" s="59"/>
      <c r="C7" s="58"/>
      <c r="D7" s="58" t="s">
        <v>64</v>
      </c>
      <c r="E7" s="58"/>
      <c r="F7" s="58"/>
      <c r="G7" s="60"/>
      <c r="H7" s="66" t="s">
        <v>65</v>
      </c>
      <c r="I7" s="60"/>
      <c r="J7" s="67">
        <f t="shared" ref="J7:S7" si="0">J8/J11</f>
        <v>1.3435712442006988</v>
      </c>
      <c r="K7" s="67">
        <f t="shared" si="0"/>
        <v>2.9153770876545813</v>
      </c>
      <c r="L7" s="67">
        <f t="shared" si="0"/>
        <v>3.4266223056932832</v>
      </c>
      <c r="M7" s="67">
        <f t="shared" si="0"/>
        <v>4.0681057285201847</v>
      </c>
      <c r="N7" s="67">
        <f t="shared" si="0"/>
        <v>5.1713508035079618</v>
      </c>
      <c r="O7" s="67">
        <f t="shared" si="0"/>
        <v>8.1554669634198671</v>
      </c>
      <c r="P7" s="67">
        <f t="shared" si="0"/>
        <v>11.909358719789656</v>
      </c>
      <c r="Q7" s="67">
        <f t="shared" si="0"/>
        <v>17.504314744725544</v>
      </c>
      <c r="R7" s="67">
        <f t="shared" si="0"/>
        <v>29.5213659161927</v>
      </c>
      <c r="S7" s="67">
        <f t="shared" si="0"/>
        <v>47.022661135173934</v>
      </c>
      <c r="T7" s="58"/>
      <c r="U7" s="58"/>
      <c r="V7" s="68">
        <f t="shared" ref="V7:V9" si="1">IFERROR(POWER(M7/J7,1/3)-1,"N.A.")</f>
        <v>0.44669565494437746</v>
      </c>
      <c r="W7" s="69">
        <f t="shared" ref="W7:W9" si="2">IFERROR(POWER(S7/M7,1/6)-1,"N.A.")</f>
        <v>0.50366986212009879</v>
      </c>
      <c r="X7" s="65"/>
      <c r="Y7" s="59"/>
      <c r="Z7" s="59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</row>
    <row r="8" spans="1:45" ht="12.75" customHeight="1">
      <c r="A8" s="20"/>
      <c r="B8" s="59"/>
      <c r="C8" s="58"/>
      <c r="D8" s="58"/>
      <c r="E8" s="58" t="s">
        <v>66</v>
      </c>
      <c r="F8" s="58"/>
      <c r="G8" s="60"/>
      <c r="H8" s="66" t="s">
        <v>65</v>
      </c>
      <c r="J8" s="70">
        <f t="shared" ref="J8:S8" si="3">J15</f>
        <v>0.53742849768027956</v>
      </c>
      <c r="K8" s="70">
        <f t="shared" si="3"/>
        <v>1.2633300713169853</v>
      </c>
      <c r="L8" s="70">
        <f t="shared" si="3"/>
        <v>1.5990904093235321</v>
      </c>
      <c r="M8" s="70">
        <f t="shared" si="3"/>
        <v>2.0340528642600924</v>
      </c>
      <c r="N8" s="70">
        <f t="shared" si="3"/>
        <v>2.4391537956545886</v>
      </c>
      <c r="O8" s="70">
        <f t="shared" si="3"/>
        <v>3.6155903537828076</v>
      </c>
      <c r="P8" s="70">
        <f t="shared" si="3"/>
        <v>4.9423838687127075</v>
      </c>
      <c r="Q8" s="70">
        <f t="shared" si="3"/>
        <v>6.7683350346272118</v>
      </c>
      <c r="R8" s="70">
        <f t="shared" si="3"/>
        <v>10.578489453302385</v>
      </c>
      <c r="S8" s="70">
        <f t="shared" si="3"/>
        <v>15.517478174607399</v>
      </c>
      <c r="T8" s="58"/>
      <c r="U8" s="58"/>
      <c r="V8" s="68">
        <f t="shared" si="1"/>
        <v>0.5584056524652814</v>
      </c>
      <c r="W8" s="69">
        <f t="shared" si="2"/>
        <v>0.40306077892505487</v>
      </c>
      <c r="X8" s="65"/>
      <c r="Y8" s="59"/>
      <c r="Z8" s="59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</row>
    <row r="9" spans="1:45" ht="12.75" customHeight="1">
      <c r="A9" s="20"/>
      <c r="B9" s="59"/>
      <c r="C9" s="58"/>
      <c r="D9" s="58"/>
      <c r="E9" s="58" t="s">
        <v>67</v>
      </c>
      <c r="F9" s="58"/>
      <c r="G9" s="60"/>
      <c r="H9" s="66" t="s">
        <v>65</v>
      </c>
      <c r="I9" s="60"/>
      <c r="J9" s="67">
        <f t="shared" ref="J9:S9" si="4">J7-J8</f>
        <v>0.80614274652041928</v>
      </c>
      <c r="K9" s="67">
        <f t="shared" si="4"/>
        <v>1.652047016337596</v>
      </c>
      <c r="L9" s="67">
        <f t="shared" si="4"/>
        <v>1.8275318963697511</v>
      </c>
      <c r="M9" s="67">
        <f t="shared" si="4"/>
        <v>2.0340528642600924</v>
      </c>
      <c r="N9" s="67">
        <f t="shared" si="4"/>
        <v>2.7321970078533733</v>
      </c>
      <c r="O9" s="67">
        <f t="shared" si="4"/>
        <v>4.5398766096370595</v>
      </c>
      <c r="P9" s="67">
        <f t="shared" si="4"/>
        <v>6.9669748510769489</v>
      </c>
      <c r="Q9" s="67">
        <f t="shared" si="4"/>
        <v>10.735979710098333</v>
      </c>
      <c r="R9" s="67">
        <f t="shared" si="4"/>
        <v>18.942876462890315</v>
      </c>
      <c r="S9" s="67">
        <f t="shared" si="4"/>
        <v>31.505182960566536</v>
      </c>
      <c r="T9" s="58"/>
      <c r="U9" s="58"/>
      <c r="V9" s="68">
        <f t="shared" si="1"/>
        <v>0.36139273412829542</v>
      </c>
      <c r="W9" s="69">
        <f t="shared" si="2"/>
        <v>0.5788345745998511</v>
      </c>
      <c r="X9" s="65"/>
      <c r="Y9" s="59"/>
      <c r="Z9" s="59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</row>
    <row r="10" spans="1:45" ht="12.75" customHeight="1">
      <c r="A10" s="20"/>
      <c r="B10" s="71"/>
      <c r="C10" s="20"/>
      <c r="D10" s="20"/>
      <c r="E10" s="20"/>
      <c r="F10" s="20"/>
      <c r="G10" s="20"/>
      <c r="H10" s="66"/>
      <c r="I10" s="66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72"/>
      <c r="W10" s="73"/>
      <c r="X10" s="74"/>
      <c r="Y10" s="75"/>
      <c r="Z10" s="75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</row>
    <row r="11" spans="1:45" ht="12.75" customHeight="1">
      <c r="A11" s="20"/>
      <c r="B11" s="71"/>
      <c r="C11" s="20"/>
      <c r="D11" s="76" t="s">
        <v>68</v>
      </c>
      <c r="E11" s="20"/>
      <c r="F11" s="20"/>
      <c r="G11" s="20"/>
      <c r="H11" s="66" t="s">
        <v>69</v>
      </c>
      <c r="I11" s="66"/>
      <c r="J11" s="77">
        <v>0.4</v>
      </c>
      <c r="K11" s="77">
        <f t="shared" ref="K11:L11" si="5">J11+($M11-$J11)/3</f>
        <v>0.43333333333333335</v>
      </c>
      <c r="L11" s="77">
        <f t="shared" si="5"/>
        <v>0.46666666666666667</v>
      </c>
      <c r="M11" s="78">
        <v>0.5</v>
      </c>
      <c r="N11" s="79">
        <f t="shared" ref="N11:R11" si="6">M11+($S11-$M11)/6</f>
        <v>0.47166666666666668</v>
      </c>
      <c r="O11" s="79">
        <f t="shared" si="6"/>
        <v>0.44333333333333336</v>
      </c>
      <c r="P11" s="79">
        <f t="shared" si="6"/>
        <v>0.41500000000000004</v>
      </c>
      <c r="Q11" s="79">
        <f t="shared" si="6"/>
        <v>0.38666666666666671</v>
      </c>
      <c r="R11" s="79">
        <f t="shared" si="6"/>
        <v>0.35833333333333339</v>
      </c>
      <c r="S11" s="77">
        <v>0.33</v>
      </c>
      <c r="T11" s="20"/>
      <c r="U11" s="20"/>
      <c r="V11" s="72"/>
      <c r="W11" s="73"/>
      <c r="X11" s="74"/>
      <c r="Y11" s="75"/>
      <c r="Z11" s="75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</row>
    <row r="12" spans="1:45" ht="12.75" customHeight="1">
      <c r="A12" s="20"/>
      <c r="B12" s="71"/>
      <c r="C12" s="80"/>
      <c r="D12" s="80"/>
      <c r="E12" s="23"/>
      <c r="F12" s="81"/>
      <c r="G12" s="23"/>
      <c r="H12" s="82"/>
      <c r="I12" s="82"/>
      <c r="J12" s="23"/>
      <c r="K12" s="23"/>
      <c r="L12" s="23"/>
      <c r="M12" s="23" t="s">
        <v>70</v>
      </c>
      <c r="N12" s="23"/>
      <c r="O12" s="23"/>
      <c r="P12" s="23"/>
      <c r="Q12" s="23"/>
      <c r="R12" s="23"/>
      <c r="S12" s="23"/>
      <c r="T12" s="23"/>
      <c r="U12" s="23"/>
      <c r="V12" s="37"/>
      <c r="W12" s="38"/>
      <c r="X12" s="30"/>
      <c r="Y12" s="31"/>
      <c r="Z12" s="31"/>
      <c r="AA12" s="23"/>
      <c r="AB12" s="23"/>
      <c r="AC12" s="23"/>
      <c r="AD12" s="23"/>
      <c r="AE12" s="23"/>
      <c r="AF12" s="23"/>
      <c r="AG12" s="23"/>
      <c r="AH12" s="23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</row>
    <row r="13" spans="1:45" ht="12.75" customHeight="1">
      <c r="A13" s="20"/>
      <c r="B13" s="48"/>
      <c r="C13" s="50"/>
      <c r="D13" s="50" t="s">
        <v>71</v>
      </c>
      <c r="E13" s="49"/>
      <c r="F13" s="51"/>
      <c r="G13" s="49"/>
      <c r="H13" s="52"/>
      <c r="I13" s="52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53"/>
      <c r="W13" s="54"/>
      <c r="X13" s="55"/>
      <c r="Y13" s="56"/>
      <c r="Z13" s="56"/>
      <c r="AA13" s="49"/>
      <c r="AB13" s="49"/>
      <c r="AC13" s="49"/>
      <c r="AD13" s="49"/>
      <c r="AE13" s="49"/>
      <c r="AF13" s="49"/>
      <c r="AG13" s="49"/>
      <c r="AH13" s="49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</row>
    <row r="14" spans="1:45" ht="12.75" customHeight="1">
      <c r="A14" s="20"/>
      <c r="B14" s="71"/>
      <c r="C14" s="20"/>
      <c r="D14" s="20"/>
      <c r="E14" s="20"/>
      <c r="F14" s="20"/>
      <c r="G14" s="20"/>
      <c r="H14" s="66"/>
      <c r="I14" s="66"/>
      <c r="J14" s="20"/>
      <c r="K14" s="20"/>
      <c r="L14" s="20"/>
      <c r="M14" s="83">
        <f>POWER(M15/K15,1/2)-1</f>
        <v>0.26888627843721036</v>
      </c>
      <c r="N14" s="20"/>
      <c r="O14" s="20"/>
      <c r="P14" s="20"/>
      <c r="Q14" s="20"/>
      <c r="R14" s="20"/>
      <c r="S14" s="20"/>
      <c r="T14" s="20"/>
      <c r="U14" s="20"/>
      <c r="V14" s="72"/>
      <c r="W14" s="73"/>
      <c r="X14" s="74" t="s">
        <v>72</v>
      </c>
      <c r="Y14" s="75"/>
      <c r="Z14" s="75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</row>
    <row r="15" spans="1:45" ht="12.75" customHeight="1">
      <c r="A15" s="20"/>
      <c r="B15" s="71"/>
      <c r="C15" s="20"/>
      <c r="D15" s="76" t="s">
        <v>73</v>
      </c>
      <c r="E15" s="20"/>
      <c r="F15" s="20"/>
      <c r="G15" s="20"/>
      <c r="H15" s="66" t="s">
        <v>65</v>
      </c>
      <c r="I15" s="66"/>
      <c r="J15" s="84">
        <f t="shared" ref="J15:S15" si="7">SUM(J16:J21)</f>
        <v>0.53742849768027956</v>
      </c>
      <c r="K15" s="84">
        <f t="shared" si="7"/>
        <v>1.2633300713169853</v>
      </c>
      <c r="L15" s="84">
        <f t="shared" si="7"/>
        <v>1.5990904093235321</v>
      </c>
      <c r="M15" s="84">
        <f t="shared" si="7"/>
        <v>2.0340528642600924</v>
      </c>
      <c r="N15" s="84">
        <f t="shared" si="7"/>
        <v>2.4391537956545886</v>
      </c>
      <c r="O15" s="84">
        <f t="shared" si="7"/>
        <v>3.6155903537828076</v>
      </c>
      <c r="P15" s="84">
        <f t="shared" si="7"/>
        <v>4.9423838687127075</v>
      </c>
      <c r="Q15" s="84">
        <f t="shared" si="7"/>
        <v>6.7683350346272118</v>
      </c>
      <c r="R15" s="84">
        <f t="shared" si="7"/>
        <v>10.578489453302385</v>
      </c>
      <c r="S15" s="84">
        <f t="shared" si="7"/>
        <v>15.517478174607399</v>
      </c>
      <c r="T15" s="20"/>
      <c r="U15" s="20"/>
      <c r="V15" s="68">
        <f t="shared" ref="V15:V21" si="8">IFERROR(POWER(M15/J15,1/3)-1,"N.A.")</f>
        <v>0.5584056524652814</v>
      </c>
      <c r="W15" s="69">
        <f t="shared" ref="W15:W21" si="9">IFERROR(POWER(S15/M15,1/6)-1,"N.A.")</f>
        <v>0.40306077892505487</v>
      </c>
      <c r="X15" s="85">
        <f t="shared" ref="X15:X21" si="10">POWER(Q15/M15,1/4)-1</f>
        <v>0.35060982011758735</v>
      </c>
      <c r="Y15" s="75"/>
      <c r="Z15" s="75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</row>
    <row r="16" spans="1:45" ht="12.75" customHeight="1">
      <c r="A16" s="20"/>
      <c r="B16" s="71"/>
      <c r="C16" s="20"/>
      <c r="D16" s="76"/>
      <c r="E16" s="23" t="s">
        <v>74</v>
      </c>
      <c r="F16" s="20"/>
      <c r="G16" s="20"/>
      <c r="H16" s="66" t="s">
        <v>65</v>
      </c>
      <c r="I16" s="66"/>
      <c r="J16" s="84">
        <f t="shared" ref="J16:S16" si="11">J60/1000</f>
        <v>8.5083899465689436E-2</v>
      </c>
      <c r="K16" s="84">
        <f t="shared" si="11"/>
        <v>0.33069058506173443</v>
      </c>
      <c r="L16" s="84">
        <f t="shared" si="11"/>
        <v>0.336058624947009</v>
      </c>
      <c r="M16" s="84">
        <f t="shared" si="11"/>
        <v>0.38758436793515322</v>
      </c>
      <c r="N16" s="84">
        <f t="shared" si="11"/>
        <v>0.39026807340871028</v>
      </c>
      <c r="O16" s="84">
        <f t="shared" si="11"/>
        <v>0.54857745753333387</v>
      </c>
      <c r="P16" s="84">
        <f t="shared" si="11"/>
        <v>0.72853884410774983</v>
      </c>
      <c r="Q16" s="84">
        <f t="shared" si="11"/>
        <v>0.9296573581073071</v>
      </c>
      <c r="R16" s="84">
        <f t="shared" si="11"/>
        <v>1.1514448519896809</v>
      </c>
      <c r="S16" s="84">
        <f t="shared" si="11"/>
        <v>1.393419834968296</v>
      </c>
      <c r="T16" s="20"/>
      <c r="U16" s="20"/>
      <c r="V16" s="68">
        <f t="shared" si="8"/>
        <v>0.65770134176547246</v>
      </c>
      <c r="W16" s="69">
        <f t="shared" si="9"/>
        <v>0.23771110990396638</v>
      </c>
      <c r="X16" s="85">
        <f t="shared" si="10"/>
        <v>0.24448356213532785</v>
      </c>
      <c r="Y16" s="75"/>
      <c r="Z16" s="75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</row>
    <row r="17" spans="1:45" ht="12.75" customHeight="1">
      <c r="A17" s="20"/>
      <c r="B17" s="71"/>
      <c r="C17" s="20"/>
      <c r="D17" s="76"/>
      <c r="E17" s="23" t="s">
        <v>75</v>
      </c>
      <c r="F17" s="20"/>
      <c r="G17" s="20"/>
      <c r="H17" s="66" t="s">
        <v>65</v>
      </c>
      <c r="I17" s="66"/>
      <c r="J17" s="84">
        <f t="shared" ref="J17:S17" si="12">J105/1000</f>
        <v>9.9372000000000002E-2</v>
      </c>
      <c r="K17" s="84">
        <f t="shared" si="12"/>
        <v>0.20777400000000001</v>
      </c>
      <c r="L17" s="84">
        <f t="shared" si="12"/>
        <v>0.26456400000000008</v>
      </c>
      <c r="M17" s="84">
        <f t="shared" si="12"/>
        <v>0.33013199999999998</v>
      </c>
      <c r="N17" s="84">
        <f t="shared" si="12"/>
        <v>0.5011931743861201</v>
      </c>
      <c r="O17" s="84">
        <f t="shared" si="12"/>
        <v>0.70856127402379254</v>
      </c>
      <c r="P17" s="84">
        <f t="shared" si="12"/>
        <v>1.1009592456642687</v>
      </c>
      <c r="Q17" s="84">
        <f t="shared" si="12"/>
        <v>1.9164032941802462</v>
      </c>
      <c r="R17" s="84">
        <f t="shared" si="12"/>
        <v>4.6398879381043221</v>
      </c>
      <c r="S17" s="84">
        <f t="shared" si="12"/>
        <v>8.415983785416671</v>
      </c>
      <c r="T17" s="20"/>
      <c r="U17" s="20"/>
      <c r="V17" s="68">
        <f t="shared" si="8"/>
        <v>0.49213412951670032</v>
      </c>
      <c r="W17" s="69">
        <f t="shared" si="9"/>
        <v>0.7155480157893952</v>
      </c>
      <c r="X17" s="85">
        <f t="shared" si="10"/>
        <v>0.5522076569112504</v>
      </c>
      <c r="Y17" s="75"/>
      <c r="Z17" s="75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</row>
    <row r="18" spans="1:45" ht="12.75" customHeight="1">
      <c r="A18" s="20"/>
      <c r="B18" s="71"/>
      <c r="C18" s="20"/>
      <c r="D18" s="76"/>
      <c r="E18" s="23" t="s">
        <v>76</v>
      </c>
      <c r="F18" s="20"/>
      <c r="G18" s="20"/>
      <c r="H18" s="66" t="s">
        <v>65</v>
      </c>
      <c r="I18" s="66"/>
      <c r="J18" s="84">
        <f t="shared" ref="J18:S18" si="13">J163/1000</f>
        <v>0.13920000000000002</v>
      </c>
      <c r="K18" s="84">
        <f t="shared" si="13"/>
        <v>0.34175013333333321</v>
      </c>
      <c r="L18" s="84">
        <f t="shared" si="13"/>
        <v>0.38591862222222229</v>
      </c>
      <c r="M18" s="84">
        <f t="shared" si="13"/>
        <v>0.4319041066666664</v>
      </c>
      <c r="N18" s="84">
        <f t="shared" si="13"/>
        <v>0.49637512847018389</v>
      </c>
      <c r="O18" s="84">
        <f t="shared" si="13"/>
        <v>0.63256044263256939</v>
      </c>
      <c r="P18" s="84">
        <f t="shared" si="13"/>
        <v>0.78515468691003754</v>
      </c>
      <c r="Q18" s="84">
        <f t="shared" si="13"/>
        <v>0.95440345652036007</v>
      </c>
      <c r="R18" s="84">
        <f t="shared" si="13"/>
        <v>1.1405064915242198</v>
      </c>
      <c r="S18" s="84">
        <f t="shared" si="13"/>
        <v>1.3436217112958797</v>
      </c>
      <c r="T18" s="20"/>
      <c r="U18" s="20"/>
      <c r="V18" s="68">
        <f t="shared" si="8"/>
        <v>0.4585322377850265</v>
      </c>
      <c r="W18" s="69">
        <f t="shared" si="9"/>
        <v>0.20822628589007075</v>
      </c>
      <c r="X18" s="85">
        <f t="shared" si="10"/>
        <v>0.21923148025687866</v>
      </c>
      <c r="Y18" s="75"/>
      <c r="Z18" s="75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</row>
    <row r="19" spans="1:45" ht="12.75" customHeight="1">
      <c r="A19" s="20"/>
      <c r="B19" s="71"/>
      <c r="C19" s="20"/>
      <c r="D19" s="76"/>
      <c r="E19" s="23" t="s">
        <v>77</v>
      </c>
      <c r="F19" s="20"/>
      <c r="G19" s="20"/>
      <c r="H19" s="66" t="s">
        <v>65</v>
      </c>
      <c r="I19" s="66"/>
      <c r="J19" s="84">
        <f t="shared" ref="J19:S19" si="14">J187/1000</f>
        <v>7.8237689999999999E-2</v>
      </c>
      <c r="K19" s="84">
        <f t="shared" si="14"/>
        <v>0.12098176816666668</v>
      </c>
      <c r="L19" s="84">
        <f t="shared" si="14"/>
        <v>0.21426868361111109</v>
      </c>
      <c r="M19" s="84">
        <f t="shared" si="14"/>
        <v>0.30954260547619056</v>
      </c>
      <c r="N19" s="84">
        <f t="shared" si="14"/>
        <v>0.329233081473148</v>
      </c>
      <c r="O19" s="84">
        <f t="shared" si="14"/>
        <v>0.54240197379762545</v>
      </c>
      <c r="P19" s="84">
        <f t="shared" si="14"/>
        <v>0.76628187943735537</v>
      </c>
      <c r="Q19" s="84">
        <f t="shared" si="14"/>
        <v>0.9798411054537105</v>
      </c>
      <c r="R19" s="84">
        <f t="shared" si="14"/>
        <v>1.1794039407261105</v>
      </c>
      <c r="S19" s="84">
        <f t="shared" si="14"/>
        <v>1.3612736337142941</v>
      </c>
      <c r="T19" s="20"/>
      <c r="U19" s="20"/>
      <c r="V19" s="68">
        <f t="shared" si="8"/>
        <v>0.58161753599631072</v>
      </c>
      <c r="W19" s="69">
        <f t="shared" si="9"/>
        <v>0.27998289645126895</v>
      </c>
      <c r="X19" s="85">
        <f t="shared" si="10"/>
        <v>0.33385556548520401</v>
      </c>
      <c r="Y19" s="75"/>
      <c r="Z19" s="75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</row>
    <row r="20" spans="1:45" ht="12.75" customHeight="1">
      <c r="A20" s="20"/>
      <c r="B20" s="71"/>
      <c r="C20" s="20"/>
      <c r="D20" s="76"/>
      <c r="E20" s="23" t="s">
        <v>78</v>
      </c>
      <c r="F20" s="20"/>
      <c r="G20" s="20"/>
      <c r="H20" s="66" t="s">
        <v>65</v>
      </c>
      <c r="I20" s="66"/>
      <c r="J20" s="84">
        <f t="shared" ref="J20:S20" si="15">J264/1000</f>
        <v>5.1453000000000006E-2</v>
      </c>
      <c r="K20" s="84">
        <f t="shared" si="15"/>
        <v>8.2908066666666655E-2</v>
      </c>
      <c r="L20" s="84">
        <f t="shared" si="15"/>
        <v>0.12981524999999999</v>
      </c>
      <c r="M20" s="84">
        <f t="shared" si="15"/>
        <v>0.25593324000000001</v>
      </c>
      <c r="N20" s="84">
        <f t="shared" si="15"/>
        <v>0.30692475423435361</v>
      </c>
      <c r="O20" s="84">
        <f t="shared" si="15"/>
        <v>0.60277210768750755</v>
      </c>
      <c r="P20" s="84">
        <f t="shared" si="15"/>
        <v>0.77150440458261471</v>
      </c>
      <c r="Q20" s="84">
        <f t="shared" si="15"/>
        <v>0.93862898001200634</v>
      </c>
      <c r="R20" s="84">
        <f t="shared" si="15"/>
        <v>1.1014559656494998</v>
      </c>
      <c r="S20" s="84">
        <f t="shared" si="15"/>
        <v>1.2573213467611597</v>
      </c>
      <c r="T20" s="20"/>
      <c r="U20" s="20"/>
      <c r="V20" s="68">
        <f t="shared" si="8"/>
        <v>0.70702021564573392</v>
      </c>
      <c r="W20" s="69">
        <f t="shared" si="9"/>
        <v>0.30382688625011811</v>
      </c>
      <c r="X20" s="85">
        <f t="shared" si="10"/>
        <v>0.38385891554223628</v>
      </c>
      <c r="Y20" s="75"/>
      <c r="Z20" s="75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</row>
    <row r="21" spans="1:45" ht="12.75" customHeight="1">
      <c r="A21" s="20"/>
      <c r="B21" s="71"/>
      <c r="C21" s="20"/>
      <c r="D21" s="76"/>
      <c r="E21" s="23" t="s">
        <v>79</v>
      </c>
      <c r="F21" s="20"/>
      <c r="G21" s="20"/>
      <c r="H21" s="66" t="s">
        <v>65</v>
      </c>
      <c r="I21" s="66"/>
      <c r="J21" s="84">
        <f t="shared" ref="J21:S21" si="16">J311/1000</f>
        <v>8.4081908214590106E-2</v>
      </c>
      <c r="K21" s="84">
        <f t="shared" si="16"/>
        <v>0.17922551808858431</v>
      </c>
      <c r="L21" s="84">
        <f t="shared" si="16"/>
        <v>0.26846522854318972</v>
      </c>
      <c r="M21" s="84">
        <f t="shared" si="16"/>
        <v>0.31895654418208225</v>
      </c>
      <c r="N21" s="84">
        <f t="shared" si="16"/>
        <v>0.41515958368207234</v>
      </c>
      <c r="O21" s="84">
        <f t="shared" si="16"/>
        <v>0.58071709810797867</v>
      </c>
      <c r="P21" s="84">
        <f t="shared" si="16"/>
        <v>0.78994480801068134</v>
      </c>
      <c r="Q21" s="84">
        <f t="shared" si="16"/>
        <v>1.0494008403535817</v>
      </c>
      <c r="R21" s="84">
        <f t="shared" si="16"/>
        <v>1.3657902653085516</v>
      </c>
      <c r="S21" s="84">
        <f t="shared" si="16"/>
        <v>1.7458578624510992</v>
      </c>
      <c r="T21" s="20"/>
      <c r="U21" s="20"/>
      <c r="V21" s="68">
        <f t="shared" si="8"/>
        <v>0.55958716582101964</v>
      </c>
      <c r="W21" s="69">
        <f t="shared" si="9"/>
        <v>0.32753575722071604</v>
      </c>
      <c r="X21" s="85">
        <f t="shared" si="10"/>
        <v>0.34679803046020519</v>
      </c>
      <c r="Y21" s="75"/>
      <c r="Z21" s="75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</row>
    <row r="22" spans="1:45" ht="12.75" customHeight="1">
      <c r="A22" s="20"/>
      <c r="B22" s="71"/>
      <c r="C22" s="80"/>
      <c r="D22" s="80"/>
      <c r="E22" s="23"/>
      <c r="F22" s="81"/>
      <c r="G22" s="23"/>
      <c r="H22" s="82"/>
      <c r="I22" s="82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23"/>
      <c r="U22" s="23"/>
      <c r="V22" s="37"/>
      <c r="W22" s="38"/>
      <c r="X22" s="30"/>
      <c r="Y22" s="31"/>
      <c r="Z22" s="31"/>
      <c r="AA22" s="23"/>
      <c r="AB22" s="23"/>
      <c r="AC22" s="23"/>
      <c r="AD22" s="23"/>
      <c r="AE22" s="23"/>
      <c r="AF22" s="23"/>
      <c r="AG22" s="23"/>
      <c r="AH22" s="23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</row>
    <row r="23" spans="1:45" ht="12.75" customHeight="1">
      <c r="A23" s="20"/>
      <c r="B23" s="71"/>
      <c r="C23" s="80"/>
      <c r="D23" s="87" t="s">
        <v>80</v>
      </c>
      <c r="E23" s="88"/>
      <c r="F23" s="89"/>
      <c r="G23" s="88"/>
      <c r="H23" s="90" t="s">
        <v>81</v>
      </c>
      <c r="I23" s="91"/>
      <c r="J23" s="92"/>
      <c r="K23" s="93">
        <v>2.2000000000000002</v>
      </c>
      <c r="L23" s="93">
        <v>5.31</v>
      </c>
      <c r="M23" s="93">
        <v>6.56</v>
      </c>
      <c r="N23" s="93">
        <v>7.88</v>
      </c>
      <c r="O23" s="93">
        <v>10.199999999999999</v>
      </c>
      <c r="P23" s="93">
        <v>13.5</v>
      </c>
      <c r="Q23" s="94">
        <v>20</v>
      </c>
      <c r="R23" s="23"/>
      <c r="S23" s="23"/>
      <c r="T23" s="23"/>
      <c r="U23" s="23"/>
      <c r="V23" s="37"/>
      <c r="W23" s="38"/>
      <c r="X23" s="30"/>
      <c r="Y23" s="31"/>
      <c r="Z23" s="31"/>
      <c r="AA23" s="23"/>
      <c r="AB23" s="23"/>
      <c r="AC23" s="23"/>
      <c r="AD23" s="23"/>
      <c r="AE23" s="23"/>
      <c r="AF23" s="23"/>
      <c r="AG23" s="23"/>
      <c r="AH23" s="23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</row>
    <row r="24" spans="1:45" ht="12.75" customHeight="1">
      <c r="A24" s="83"/>
      <c r="B24" s="95"/>
      <c r="C24" s="96"/>
      <c r="D24" s="97"/>
      <c r="E24" s="98" t="s">
        <v>82</v>
      </c>
      <c r="F24" s="99"/>
      <c r="G24" s="98"/>
      <c r="H24" s="100"/>
      <c r="I24" s="100"/>
      <c r="J24" s="98"/>
      <c r="K24" s="98">
        <f t="shared" ref="K24:Q24" si="17">K23/10/K15</f>
        <v>0.17414292986048877</v>
      </c>
      <c r="L24" s="98">
        <f t="shared" si="17"/>
        <v>0.33206377632183437</v>
      </c>
      <c r="M24" s="98">
        <f t="shared" si="17"/>
        <v>0.32250882537343822</v>
      </c>
      <c r="N24" s="98">
        <f t="shared" si="17"/>
        <v>0.32306285950637514</v>
      </c>
      <c r="O24" s="98">
        <f t="shared" si="17"/>
        <v>0.28211160562833842</v>
      </c>
      <c r="P24" s="98">
        <f t="shared" si="17"/>
        <v>0.27314754091563931</v>
      </c>
      <c r="Q24" s="101">
        <f t="shared" si="17"/>
        <v>0.29549364648290588</v>
      </c>
      <c r="R24" s="27"/>
      <c r="S24" s="27"/>
      <c r="T24" s="27"/>
      <c r="U24" s="27"/>
      <c r="V24" s="102"/>
      <c r="W24" s="103"/>
      <c r="X24" s="104"/>
      <c r="Y24" s="105"/>
      <c r="Z24" s="105"/>
      <c r="AA24" s="27"/>
      <c r="AB24" s="27"/>
      <c r="AC24" s="27"/>
      <c r="AD24" s="27"/>
      <c r="AE24" s="27"/>
      <c r="AF24" s="27"/>
      <c r="AG24" s="27"/>
      <c r="AH24" s="27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</row>
    <row r="25" spans="1:45" ht="12.75" customHeight="1">
      <c r="A25" s="20"/>
      <c r="B25" s="71"/>
      <c r="C25" s="80"/>
      <c r="D25" s="80"/>
      <c r="E25" s="23"/>
      <c r="F25" s="81"/>
      <c r="G25" s="23"/>
      <c r="H25" s="82"/>
      <c r="I25" s="82"/>
      <c r="J25" s="23"/>
      <c r="K25" s="23"/>
      <c r="L25" s="27"/>
      <c r="M25" s="27"/>
      <c r="N25" s="27">
        <f>N23/32.25%</f>
        <v>24.434108527131784</v>
      </c>
      <c r="O25" s="27"/>
      <c r="P25" s="27"/>
      <c r="Q25" s="27"/>
      <c r="R25" s="23"/>
      <c r="S25" s="23"/>
      <c r="T25" s="23"/>
      <c r="U25" s="23"/>
      <c r="V25" s="37"/>
      <c r="W25" s="38"/>
      <c r="X25" s="30"/>
      <c r="Y25" s="31"/>
      <c r="Z25" s="31"/>
      <c r="AA25" s="23"/>
      <c r="AB25" s="23"/>
      <c r="AC25" s="23"/>
      <c r="AD25" s="23"/>
      <c r="AE25" s="23"/>
      <c r="AF25" s="23"/>
      <c r="AG25" s="23"/>
      <c r="AH25" s="23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</row>
    <row r="26" spans="1:45" ht="12.75" customHeight="1">
      <c r="A26" s="20"/>
      <c r="B26" s="71"/>
      <c r="C26" s="80"/>
      <c r="D26" s="80"/>
      <c r="E26" s="23"/>
      <c r="F26" s="81"/>
      <c r="G26" s="23"/>
      <c r="H26" s="82"/>
      <c r="I26" s="82"/>
      <c r="J26" s="23"/>
      <c r="K26" s="23" t="e">
        <f t="shared" ref="K26:Q26" si="18">K23/J23-1</f>
        <v>#DIV/0!</v>
      </c>
      <c r="L26" s="27">
        <f t="shared" si="18"/>
        <v>1.4136363636363631</v>
      </c>
      <c r="M26" s="27">
        <f t="shared" si="18"/>
        <v>0.23540489642184559</v>
      </c>
      <c r="N26" s="27">
        <f t="shared" si="18"/>
        <v>0.20121951219512191</v>
      </c>
      <c r="O26" s="27">
        <f t="shared" si="18"/>
        <v>0.29441624365482233</v>
      </c>
      <c r="P26" s="27">
        <f t="shared" si="18"/>
        <v>0.32352941176470607</v>
      </c>
      <c r="Q26" s="27">
        <f t="shared" si="18"/>
        <v>0.4814814814814814</v>
      </c>
      <c r="R26" s="23"/>
      <c r="S26" s="23"/>
      <c r="T26" s="23"/>
      <c r="U26" s="23"/>
      <c r="V26" s="37"/>
      <c r="W26" s="38"/>
      <c r="X26" s="30"/>
      <c r="Y26" s="31"/>
      <c r="Z26" s="31"/>
      <c r="AA26" s="23"/>
      <c r="AB26" s="23"/>
      <c r="AC26" s="23"/>
      <c r="AD26" s="23"/>
      <c r="AE26" s="23"/>
      <c r="AF26" s="23"/>
      <c r="AG26" s="23"/>
      <c r="AH26" s="23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</row>
    <row r="27" spans="1:45" ht="12.75" customHeight="1">
      <c r="A27" s="20"/>
      <c r="B27" s="71"/>
      <c r="C27" s="80"/>
      <c r="D27" s="76" t="s">
        <v>83</v>
      </c>
      <c r="E27" s="23"/>
      <c r="F27" s="81"/>
      <c r="G27" s="23"/>
      <c r="H27" s="82"/>
      <c r="I27" s="82"/>
      <c r="J27" s="23"/>
      <c r="K27" s="23"/>
      <c r="L27" s="27">
        <f t="shared" ref="L27:S27" si="19">L15/K15-1</f>
        <v>0.26577404087003664</v>
      </c>
      <c r="M27" s="27">
        <f t="shared" si="19"/>
        <v>0.27200616825696788</v>
      </c>
      <c r="N27" s="27">
        <f t="shared" si="19"/>
        <v>0.19915949015506818</v>
      </c>
      <c r="O27" s="27">
        <f t="shared" si="19"/>
        <v>0.48231339910753857</v>
      </c>
      <c r="P27" s="27">
        <f t="shared" si="19"/>
        <v>0.36696455768053027</v>
      </c>
      <c r="Q27" s="27">
        <f t="shared" si="19"/>
        <v>0.36944745985303062</v>
      </c>
      <c r="R27" s="27">
        <f t="shared" si="19"/>
        <v>0.56293821141864187</v>
      </c>
      <c r="S27" s="27">
        <f t="shared" si="19"/>
        <v>0.46688979018296073</v>
      </c>
      <c r="T27" s="23"/>
      <c r="U27" s="23"/>
      <c r="V27" s="37"/>
      <c r="W27" s="38"/>
      <c r="X27" s="30"/>
      <c r="Y27" s="31"/>
      <c r="Z27" s="31"/>
      <c r="AA27" s="23"/>
      <c r="AB27" s="23"/>
      <c r="AC27" s="23"/>
      <c r="AD27" s="23"/>
      <c r="AE27" s="23"/>
      <c r="AF27" s="23"/>
      <c r="AG27" s="23"/>
      <c r="AH27" s="23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</row>
    <row r="28" spans="1:45" ht="12.75" customHeight="1">
      <c r="A28" s="20"/>
      <c r="B28" s="48"/>
      <c r="C28" s="50">
        <v>1</v>
      </c>
      <c r="D28" s="50" t="s">
        <v>84</v>
      </c>
      <c r="E28" s="49"/>
      <c r="F28" s="51"/>
      <c r="G28" s="49"/>
      <c r="H28" s="52"/>
      <c r="I28" s="52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53"/>
      <c r="W28" s="54"/>
      <c r="X28" s="55"/>
      <c r="Y28" s="56"/>
      <c r="Z28" s="56"/>
      <c r="AA28" s="49"/>
      <c r="AB28" s="49"/>
      <c r="AC28" s="49"/>
      <c r="AD28" s="49"/>
      <c r="AE28" s="49"/>
      <c r="AF28" s="49"/>
      <c r="AG28" s="49"/>
      <c r="AH28" s="49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</row>
    <row r="29" spans="1:45" ht="12.75" customHeight="1">
      <c r="A29" s="20"/>
      <c r="B29" s="106"/>
      <c r="C29" s="107"/>
      <c r="D29" s="107"/>
      <c r="E29" s="108"/>
      <c r="F29" s="109"/>
      <c r="G29" s="108"/>
      <c r="H29" s="110"/>
      <c r="I29" s="110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11"/>
      <c r="W29" s="112"/>
      <c r="X29" s="113"/>
      <c r="Y29" s="114"/>
      <c r="Z29" s="114"/>
      <c r="AA29" s="108"/>
      <c r="AB29" s="108"/>
      <c r="AC29" s="108"/>
      <c r="AD29" s="108"/>
      <c r="AE29" s="108"/>
      <c r="AF29" s="108"/>
      <c r="AG29" s="108"/>
      <c r="AH29" s="108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</row>
    <row r="30" spans="1:45" ht="12.75" customHeight="1">
      <c r="A30" s="20"/>
      <c r="B30" s="71"/>
      <c r="C30" s="76">
        <v>1</v>
      </c>
      <c r="D30" s="76" t="s">
        <v>85</v>
      </c>
      <c r="E30" s="20"/>
      <c r="F30" s="20"/>
      <c r="G30" s="20"/>
      <c r="H30" s="66" t="s">
        <v>86</v>
      </c>
      <c r="I30" s="66"/>
      <c r="J30" s="116">
        <f t="shared" ref="J30:S30" si="20">SUM(J31:J36)</f>
        <v>75.657446149588722</v>
      </c>
      <c r="K30" s="116">
        <f t="shared" si="20"/>
        <v>77.340068039584111</v>
      </c>
      <c r="L30" s="116">
        <f t="shared" si="20"/>
        <v>79.390385206050041</v>
      </c>
      <c r="M30" s="116">
        <f t="shared" si="20"/>
        <v>81.689166578257428</v>
      </c>
      <c r="N30" s="116">
        <f t="shared" si="20"/>
        <v>84.710063561358339</v>
      </c>
      <c r="O30" s="116">
        <f t="shared" si="20"/>
        <v>87.876675972533121</v>
      </c>
      <c r="P30" s="116">
        <f t="shared" si="20"/>
        <v>91.135844861903252</v>
      </c>
      <c r="Q30" s="116">
        <f t="shared" si="20"/>
        <v>94.451914536118451</v>
      </c>
      <c r="R30" s="116">
        <f t="shared" si="20"/>
        <v>97.799945534371076</v>
      </c>
      <c r="S30" s="116">
        <f t="shared" si="20"/>
        <v>101.72567702215568</v>
      </c>
      <c r="T30" s="20"/>
      <c r="U30" s="20"/>
      <c r="V30" s="68">
        <f t="shared" ref="V30:V33" si="21">IFERROR(POWER(M30/J30,1/3)-1,"N.A.")</f>
        <v>2.5898187709463949E-2</v>
      </c>
      <c r="W30" s="69">
        <f t="shared" ref="W30:W36" si="22">IFERROR(POWER(S30/M30,1/6)-1,"N.A.")</f>
        <v>3.7236252179718932E-2</v>
      </c>
      <c r="X30" s="74"/>
      <c r="Y30" s="117"/>
      <c r="Z30" s="117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</row>
    <row r="31" spans="1:45" ht="12.75" customHeight="1">
      <c r="A31" s="20"/>
      <c r="B31" s="71"/>
      <c r="C31" s="20"/>
      <c r="D31" s="23"/>
      <c r="E31" s="23" t="s">
        <v>74</v>
      </c>
      <c r="F31" s="20"/>
      <c r="G31" s="20"/>
      <c r="H31" s="66" t="s">
        <v>86</v>
      </c>
      <c r="I31" s="66"/>
      <c r="J31" s="116">
        <f t="shared" ref="J31:K31" si="23">K31/POWER(1-32%,1/5)</f>
        <v>14.415814480239277</v>
      </c>
      <c r="K31" s="116">
        <f t="shared" si="23"/>
        <v>13.345687989135527</v>
      </c>
      <c r="L31" s="118">
        <v>12.355</v>
      </c>
      <c r="M31" s="116">
        <f t="shared" ref="M31:S31" si="24">L31*(1+M39)</f>
        <v>11.712997498441922</v>
      </c>
      <c r="N31" s="116">
        <f t="shared" si="24"/>
        <v>11.286947997323326</v>
      </c>
      <c r="O31" s="116">
        <f t="shared" si="24"/>
        <v>10.999561357410224</v>
      </c>
      <c r="P31" s="116">
        <f t="shared" si="24"/>
        <v>10.803512887456996</v>
      </c>
      <c r="Q31" s="116">
        <f t="shared" si="24"/>
        <v>10.66872491982633</v>
      </c>
      <c r="R31" s="116">
        <f t="shared" si="24"/>
        <v>10.57555050194078</v>
      </c>
      <c r="S31" s="116">
        <f t="shared" si="24"/>
        <v>10.510898021117653</v>
      </c>
      <c r="T31" s="119"/>
      <c r="U31" s="120"/>
      <c r="V31" s="68">
        <f t="shared" si="21"/>
        <v>-6.6868274378627302E-2</v>
      </c>
      <c r="W31" s="69">
        <f t="shared" si="22"/>
        <v>-1.7885864192904943E-2</v>
      </c>
      <c r="X31" s="74"/>
      <c r="Y31" s="117"/>
      <c r="Z31" s="121" t="s">
        <v>87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</row>
    <row r="32" spans="1:45" ht="12.75" customHeight="1">
      <c r="A32" s="20"/>
      <c r="B32" s="71"/>
      <c r="C32" s="20"/>
      <c r="D32" s="23"/>
      <c r="E32" s="23" t="s">
        <v>76</v>
      </c>
      <c r="F32" s="20"/>
      <c r="G32" s="20"/>
      <c r="H32" s="66" t="s">
        <v>86</v>
      </c>
      <c r="I32" s="66"/>
      <c r="J32" s="116">
        <f t="shared" ref="J32:L32" si="25">K32/(1+$W$32)</f>
        <v>6.0474315681476343</v>
      </c>
      <c r="K32" s="116">
        <f t="shared" si="25"/>
        <v>6.6386122669299468</v>
      </c>
      <c r="L32" s="116">
        <f t="shared" si="25"/>
        <v>7.2875852060500517</v>
      </c>
      <c r="M32" s="118">
        <v>8</v>
      </c>
      <c r="N32" s="116">
        <f t="shared" ref="N32:R32" si="26">M32+($S32-$M32)/6</f>
        <v>9</v>
      </c>
      <c r="O32" s="116">
        <f t="shared" si="26"/>
        <v>10</v>
      </c>
      <c r="P32" s="116">
        <f t="shared" si="26"/>
        <v>11</v>
      </c>
      <c r="Q32" s="116">
        <f t="shared" si="26"/>
        <v>12</v>
      </c>
      <c r="R32" s="116">
        <f t="shared" si="26"/>
        <v>13</v>
      </c>
      <c r="S32" s="116">
        <f>1400*0.01</f>
        <v>14</v>
      </c>
      <c r="T32" s="20"/>
      <c r="U32" s="20"/>
      <c r="V32" s="68">
        <f t="shared" si="21"/>
        <v>9.7757319304961454E-2</v>
      </c>
      <c r="W32" s="69">
        <f t="shared" si="22"/>
        <v>9.7757319304961454E-2</v>
      </c>
      <c r="X32" s="74"/>
      <c r="Y32" s="117"/>
      <c r="Z32" s="121" t="s">
        <v>88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</row>
    <row r="33" spans="1:45" ht="12.75" customHeight="1">
      <c r="A33" s="20"/>
      <c r="B33" s="71"/>
      <c r="C33" s="20"/>
      <c r="D33" s="23"/>
      <c r="E33" s="23" t="s">
        <v>78</v>
      </c>
      <c r="F33" s="20"/>
      <c r="G33" s="20"/>
      <c r="H33" s="66" t="s">
        <v>86</v>
      </c>
      <c r="I33" s="66"/>
      <c r="J33" s="122">
        <f>18.44</f>
        <v>18.440000000000001</v>
      </c>
      <c r="K33" s="122">
        <f>18.8036</f>
        <v>18.803599999999999</v>
      </c>
      <c r="L33" s="123">
        <v>18.9178</v>
      </c>
      <c r="M33" s="123">
        <v>18.850000000000001</v>
      </c>
      <c r="N33" s="116">
        <f t="shared" ref="N33:S33" si="27">M33*(1+$V$33)</f>
        <v>18.988682538334675</v>
      </c>
      <c r="O33" s="116">
        <f t="shared" si="27"/>
        <v>19.128385386825261</v>
      </c>
      <c r="P33" s="116">
        <f t="shared" si="27"/>
        <v>19.269116052060742</v>
      </c>
      <c r="Q33" s="116">
        <f t="shared" si="27"/>
        <v>19.410882095857303</v>
      </c>
      <c r="R33" s="116">
        <f t="shared" si="27"/>
        <v>19.553691135664653</v>
      </c>
      <c r="S33" s="116">
        <f t="shared" si="27"/>
        <v>19.697550844975328</v>
      </c>
      <c r="T33" s="20"/>
      <c r="U33" s="20"/>
      <c r="V33" s="68">
        <f t="shared" si="21"/>
        <v>7.3571638373832737E-3</v>
      </c>
      <c r="W33" s="69">
        <f t="shared" si="22"/>
        <v>7.3571638373832737E-3</v>
      </c>
      <c r="X33" s="74"/>
      <c r="Y33" s="75"/>
      <c r="Z33" s="75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</row>
    <row r="34" spans="1:45" ht="12.75" customHeight="1">
      <c r="A34" s="20"/>
      <c r="B34" s="71"/>
      <c r="C34" s="20"/>
      <c r="D34" s="23"/>
      <c r="E34" s="23" t="s">
        <v>79</v>
      </c>
      <c r="F34" s="20"/>
      <c r="G34" s="20"/>
      <c r="H34" s="66" t="s">
        <v>86</v>
      </c>
      <c r="I34" s="66"/>
      <c r="J34" s="116">
        <f t="shared" ref="J34:K34" si="28">K34/(1+$V$34)</f>
        <v>21.061290700509989</v>
      </c>
      <c r="K34" s="116">
        <f t="shared" si="28"/>
        <v>22.152383016774579</v>
      </c>
      <c r="L34" s="124">
        <v>23.3</v>
      </c>
      <c r="M34" s="116">
        <f t="shared" ref="M34:S36" si="29">L34*(1+M42)</f>
        <v>24.446716446012111</v>
      </c>
      <c r="N34" s="116">
        <f t="shared" si="29"/>
        <v>25.589711261877127</v>
      </c>
      <c r="O34" s="116">
        <f t="shared" si="29"/>
        <v>26.726324516568457</v>
      </c>
      <c r="P34" s="116">
        <f t="shared" si="29"/>
        <v>27.854067603024088</v>
      </c>
      <c r="Q34" s="116">
        <f t="shared" si="29"/>
        <v>28.970630433877606</v>
      </c>
      <c r="R34" s="116">
        <f t="shared" si="29"/>
        <v>30.073885912049921</v>
      </c>
      <c r="S34" s="116">
        <f t="shared" si="29"/>
        <v>31.725706285038349</v>
      </c>
      <c r="T34" s="20"/>
      <c r="U34" s="20"/>
      <c r="V34" s="68">
        <f>POWER(L34/18.1,1/5)-1</f>
        <v>5.1805576960113342E-2</v>
      </c>
      <c r="W34" s="69">
        <f t="shared" si="22"/>
        <v>4.439582568214151E-2</v>
      </c>
      <c r="X34" s="74"/>
      <c r="Y34" s="75"/>
      <c r="Z34" s="75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</row>
    <row r="35" spans="1:45" ht="12.75" customHeight="1">
      <c r="A35" s="20"/>
      <c r="B35" s="71"/>
      <c r="C35" s="20"/>
      <c r="D35" s="23"/>
      <c r="E35" s="23" t="s">
        <v>77</v>
      </c>
      <c r="F35" s="20"/>
      <c r="G35" s="20"/>
      <c r="H35" s="66" t="s">
        <v>86</v>
      </c>
      <c r="I35" s="66"/>
      <c r="J35" s="123">
        <v>8.6</v>
      </c>
      <c r="K35" s="123">
        <v>8.9</v>
      </c>
      <c r="L35" s="125">
        <v>9.6</v>
      </c>
      <c r="M35" s="116">
        <f t="shared" si="29"/>
        <v>10.317303370786517</v>
      </c>
      <c r="N35" s="116">
        <f t="shared" si="29"/>
        <v>11.049658022976898</v>
      </c>
      <c r="O35" s="116">
        <f t="shared" si="29"/>
        <v>11.794780537944861</v>
      </c>
      <c r="P35" s="116">
        <f t="shared" si="29"/>
        <v>12.550381181301503</v>
      </c>
      <c r="Q35" s="116">
        <f t="shared" si="29"/>
        <v>13.314187024168344</v>
      </c>
      <c r="R35" s="116">
        <f t="shared" si="29"/>
        <v>14.083962938574132</v>
      </c>
      <c r="S35" s="116">
        <f t="shared" si="29"/>
        <v>14.857530311356818</v>
      </c>
      <c r="T35" s="20"/>
      <c r="U35" s="20"/>
      <c r="V35" s="68">
        <f>POWER(L35/J35,1/2)-1</f>
        <v>5.6541087590748607E-2</v>
      </c>
      <c r="W35" s="69">
        <f t="shared" si="22"/>
        <v>6.2665882101567538E-2</v>
      </c>
      <c r="X35" s="74"/>
      <c r="Y35" s="75"/>
      <c r="Z35" s="75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</row>
    <row r="36" spans="1:45" ht="12.75" customHeight="1">
      <c r="A36" s="20"/>
      <c r="B36" s="71"/>
      <c r="C36" s="20"/>
      <c r="D36" s="23"/>
      <c r="E36" s="23" t="s">
        <v>75</v>
      </c>
      <c r="F36" s="20"/>
      <c r="G36" s="20"/>
      <c r="H36" s="66" t="s">
        <v>86</v>
      </c>
      <c r="I36" s="66"/>
      <c r="J36" s="116">
        <f t="shared" ref="J36:K36" si="30">K36/(1+$V$36)</f>
        <v>7.0929094006918216</v>
      </c>
      <c r="K36" s="116">
        <f t="shared" si="30"/>
        <v>7.4997847667440523</v>
      </c>
      <c r="L36" s="124">
        <v>7.93</v>
      </c>
      <c r="M36" s="116">
        <f t="shared" si="29"/>
        <v>8.3621492630168799</v>
      </c>
      <c r="N36" s="116">
        <f t="shared" si="29"/>
        <v>8.7950637408463148</v>
      </c>
      <c r="O36" s="116">
        <f t="shared" si="29"/>
        <v>9.2276241737843225</v>
      </c>
      <c r="P36" s="116">
        <f t="shared" si="29"/>
        <v>9.6587671380599183</v>
      </c>
      <c r="Q36" s="116">
        <f t="shared" si="29"/>
        <v>10.087490062388868</v>
      </c>
      <c r="R36" s="116">
        <f t="shared" si="29"/>
        <v>10.512855046141597</v>
      </c>
      <c r="S36" s="116">
        <f t="shared" si="29"/>
        <v>10.933991559667533</v>
      </c>
      <c r="T36" s="20"/>
      <c r="U36" s="20"/>
      <c r="V36" s="68">
        <f>POWER(L36/6,1/5)-1</f>
        <v>5.7363677310265038E-2</v>
      </c>
      <c r="W36" s="69">
        <f t="shared" si="22"/>
        <v>4.5707292017603596E-2</v>
      </c>
      <c r="X36" s="74"/>
      <c r="Y36" s="75"/>
      <c r="Z36" s="75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</row>
    <row r="37" spans="1:45" ht="12.75" customHeight="1">
      <c r="A37" s="20"/>
      <c r="B37" s="71"/>
      <c r="C37" s="20"/>
      <c r="D37" s="126" t="s">
        <v>83</v>
      </c>
      <c r="E37" s="23"/>
      <c r="F37" s="20"/>
      <c r="G37" s="20"/>
      <c r="H37" s="66"/>
      <c r="I37" s="6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20"/>
      <c r="U37" s="20"/>
      <c r="V37" s="72"/>
      <c r="W37" s="73"/>
      <c r="X37" s="74"/>
      <c r="Y37" s="75"/>
      <c r="Z37" s="75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</row>
    <row r="38" spans="1:45" ht="12.75" customHeight="1">
      <c r="A38" s="20"/>
      <c r="B38" s="71"/>
      <c r="C38" s="76"/>
      <c r="D38" s="20"/>
      <c r="E38" s="127" t="s">
        <v>89</v>
      </c>
      <c r="F38" s="127"/>
      <c r="G38" s="127"/>
      <c r="H38" s="128" t="s">
        <v>69</v>
      </c>
      <c r="I38" s="128"/>
      <c r="J38" s="129"/>
      <c r="K38" s="130">
        <f t="shared" ref="K38:S44" si="31">K30/J30-1</f>
        <v>2.224000380172142E-2</v>
      </c>
      <c r="L38" s="130">
        <f t="shared" si="31"/>
        <v>2.6510413275257827E-2</v>
      </c>
      <c r="M38" s="130">
        <f t="shared" si="31"/>
        <v>2.8955412752326604E-2</v>
      </c>
      <c r="N38" s="130">
        <f t="shared" si="31"/>
        <v>3.6980386869376547E-2</v>
      </c>
      <c r="O38" s="130">
        <f t="shared" si="31"/>
        <v>3.7381773523060824E-2</v>
      </c>
      <c r="P38" s="130">
        <f t="shared" si="31"/>
        <v>3.7087985558179604E-2</v>
      </c>
      <c r="Q38" s="130">
        <f t="shared" si="31"/>
        <v>3.6386009031243338E-2</v>
      </c>
      <c r="R38" s="130">
        <f t="shared" si="31"/>
        <v>3.5446936302941046E-2</v>
      </c>
      <c r="S38" s="130">
        <f t="shared" si="31"/>
        <v>4.0140426115114147E-2</v>
      </c>
      <c r="T38" s="20"/>
      <c r="U38" s="20"/>
      <c r="V38" s="72"/>
      <c r="W38" s="73"/>
      <c r="X38" s="74"/>
      <c r="Y38" s="75"/>
      <c r="Z38" s="66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</row>
    <row r="39" spans="1:45" ht="12.75" customHeight="1">
      <c r="A39" s="20"/>
      <c r="B39" s="71"/>
      <c r="C39" s="20"/>
      <c r="D39" s="126"/>
      <c r="E39" s="127" t="s">
        <v>90</v>
      </c>
      <c r="F39" s="127"/>
      <c r="G39" s="127"/>
      <c r="H39" s="128" t="s">
        <v>69</v>
      </c>
      <c r="I39" s="128"/>
      <c r="J39" s="129"/>
      <c r="K39" s="130">
        <f t="shared" si="31"/>
        <v>-7.4232815119162687E-2</v>
      </c>
      <c r="L39" s="130">
        <f t="shared" si="31"/>
        <v>-7.4232815119162576E-2</v>
      </c>
      <c r="M39" s="130">
        <f t="shared" ref="M39:S39" si="32">L39*$U$39</f>
        <v>-5.1962970583413801E-2</v>
      </c>
      <c r="N39" s="130">
        <f t="shared" si="32"/>
        <v>-3.6374079408389659E-2</v>
      </c>
      <c r="O39" s="130">
        <f t="shared" si="32"/>
        <v>-2.5461855585872759E-2</v>
      </c>
      <c r="P39" s="130">
        <f t="shared" si="32"/>
        <v>-1.7823298910110929E-2</v>
      </c>
      <c r="Q39" s="130">
        <f t="shared" si="32"/>
        <v>-1.2476309237077649E-2</v>
      </c>
      <c r="R39" s="130">
        <f t="shared" si="32"/>
        <v>-8.733416465954354E-3</v>
      </c>
      <c r="S39" s="130">
        <f t="shared" si="32"/>
        <v>-6.1133915261680476E-3</v>
      </c>
      <c r="T39" s="20"/>
      <c r="U39" s="120">
        <v>0.7</v>
      </c>
      <c r="V39" s="72"/>
      <c r="W39" s="73"/>
      <c r="X39" s="74"/>
      <c r="Y39" s="75"/>
      <c r="Z39" s="131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</row>
    <row r="40" spans="1:45" ht="12.75" customHeight="1">
      <c r="A40" s="20"/>
      <c r="B40" s="71"/>
      <c r="C40" s="20"/>
      <c r="D40" s="127"/>
      <c r="E40" s="127" t="s">
        <v>91</v>
      </c>
      <c r="F40" s="127"/>
      <c r="G40" s="127"/>
      <c r="H40" s="128" t="s">
        <v>69</v>
      </c>
      <c r="I40" s="128"/>
      <c r="J40" s="129"/>
      <c r="K40" s="130">
        <f t="shared" si="31"/>
        <v>9.7757319304961454E-2</v>
      </c>
      <c r="L40" s="130">
        <f t="shared" si="31"/>
        <v>9.7757319304961454E-2</v>
      </c>
      <c r="M40" s="130">
        <f t="shared" si="31"/>
        <v>9.7757319304961454E-2</v>
      </c>
      <c r="N40" s="130">
        <f t="shared" si="31"/>
        <v>0.125</v>
      </c>
      <c r="O40" s="130">
        <f t="shared" si="31"/>
        <v>0.11111111111111116</v>
      </c>
      <c r="P40" s="130">
        <f t="shared" si="31"/>
        <v>0.10000000000000009</v>
      </c>
      <c r="Q40" s="130">
        <f t="shared" si="31"/>
        <v>9.0909090909090828E-2</v>
      </c>
      <c r="R40" s="130">
        <f t="shared" si="31"/>
        <v>8.3333333333333259E-2</v>
      </c>
      <c r="S40" s="130">
        <f t="shared" si="31"/>
        <v>7.6923076923076872E-2</v>
      </c>
      <c r="T40" s="20"/>
      <c r="U40" s="20"/>
      <c r="V40" s="72"/>
      <c r="W40" s="73"/>
      <c r="X40" s="74"/>
      <c r="Y40" s="75"/>
      <c r="Z40" s="75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</row>
    <row r="41" spans="1:45" ht="12.75" customHeight="1">
      <c r="A41" s="20"/>
      <c r="B41" s="71"/>
      <c r="C41" s="20"/>
      <c r="D41" s="127"/>
      <c r="E41" s="127" t="s">
        <v>92</v>
      </c>
      <c r="F41" s="127"/>
      <c r="G41" s="127"/>
      <c r="H41" s="128" t="s">
        <v>69</v>
      </c>
      <c r="I41" s="128"/>
      <c r="J41" s="129"/>
      <c r="K41" s="130">
        <f t="shared" si="31"/>
        <v>1.9718004338394657E-2</v>
      </c>
      <c r="L41" s="130">
        <f t="shared" si="31"/>
        <v>6.0733051117871639E-3</v>
      </c>
      <c r="M41" s="130">
        <f t="shared" si="31"/>
        <v>-3.5839262493523316E-3</v>
      </c>
      <c r="N41" s="130">
        <f t="shared" si="31"/>
        <v>7.3571638373832737E-3</v>
      </c>
      <c r="O41" s="130">
        <f t="shared" si="31"/>
        <v>7.3571638373832737E-3</v>
      </c>
      <c r="P41" s="130">
        <f t="shared" si="31"/>
        <v>7.3571638373832737E-3</v>
      </c>
      <c r="Q41" s="130">
        <f t="shared" si="31"/>
        <v>7.3571638373832737E-3</v>
      </c>
      <c r="R41" s="130">
        <f t="shared" si="31"/>
        <v>7.3571638373832737E-3</v>
      </c>
      <c r="S41" s="130">
        <f t="shared" si="31"/>
        <v>7.3571638373832737E-3</v>
      </c>
      <c r="T41" s="20"/>
      <c r="U41" s="20"/>
      <c r="V41" s="72"/>
      <c r="W41" s="73"/>
      <c r="X41" s="74"/>
      <c r="Y41" s="75"/>
      <c r="Z41" s="75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</row>
    <row r="42" spans="1:45" ht="12.75" customHeight="1">
      <c r="A42" s="20"/>
      <c r="B42" s="71"/>
      <c r="C42" s="20"/>
      <c r="D42" s="127"/>
      <c r="E42" s="127" t="s">
        <v>93</v>
      </c>
      <c r="F42" s="127"/>
      <c r="G42" s="127"/>
      <c r="H42" s="128" t="s">
        <v>69</v>
      </c>
      <c r="I42" s="128"/>
      <c r="J42" s="129"/>
      <c r="K42" s="130">
        <f t="shared" si="31"/>
        <v>5.1805576960113342E-2</v>
      </c>
      <c r="L42" s="130">
        <f t="shared" si="31"/>
        <v>5.1805576960113342E-2</v>
      </c>
      <c r="M42" s="130">
        <f t="shared" ref="M42:R42" si="33">L42*$U$42</f>
        <v>4.9215298112107675E-2</v>
      </c>
      <c r="N42" s="130">
        <f t="shared" si="33"/>
        <v>4.6754533206502288E-2</v>
      </c>
      <c r="O42" s="130">
        <f t="shared" si="33"/>
        <v>4.4416806546177169E-2</v>
      </c>
      <c r="P42" s="130">
        <f t="shared" si="33"/>
        <v>4.2195966218868307E-2</v>
      </c>
      <c r="Q42" s="130">
        <f t="shared" si="33"/>
        <v>4.0086167907924887E-2</v>
      </c>
      <c r="R42" s="130">
        <f t="shared" si="33"/>
        <v>3.808185951252864E-2</v>
      </c>
      <c r="S42" s="130">
        <f>R43*$U$43</f>
        <v>5.4925405310744344E-2</v>
      </c>
      <c r="T42" s="20"/>
      <c r="U42" s="120">
        <v>0.95</v>
      </c>
      <c r="V42" s="72"/>
      <c r="W42" s="73"/>
      <c r="X42" s="74"/>
      <c r="Y42" s="75"/>
      <c r="Z42" s="75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</row>
    <row r="43" spans="1:45" ht="12.75" customHeight="1">
      <c r="A43" s="20"/>
      <c r="B43" s="71"/>
      <c r="C43" s="20"/>
      <c r="D43" s="127"/>
      <c r="E43" s="127" t="s">
        <v>94</v>
      </c>
      <c r="F43" s="127"/>
      <c r="G43" s="127"/>
      <c r="H43" s="128" t="s">
        <v>69</v>
      </c>
      <c r="I43" s="128"/>
      <c r="J43" s="129"/>
      <c r="K43" s="130">
        <f t="shared" si="31"/>
        <v>3.488372093023262E-2</v>
      </c>
      <c r="L43" s="130">
        <f t="shared" si="31"/>
        <v>7.8651685393258397E-2</v>
      </c>
      <c r="M43" s="130">
        <f t="shared" ref="M43:S43" si="34">L43*$U$43</f>
        <v>7.4719101123595477E-2</v>
      </c>
      <c r="N43" s="130">
        <f t="shared" si="34"/>
        <v>7.0983146067415695E-2</v>
      </c>
      <c r="O43" s="130">
        <f t="shared" si="34"/>
        <v>6.7433988764044911E-2</v>
      </c>
      <c r="P43" s="130">
        <f t="shared" si="34"/>
        <v>6.4062289325842667E-2</v>
      </c>
      <c r="Q43" s="130">
        <f t="shared" si="34"/>
        <v>6.085917485955053E-2</v>
      </c>
      <c r="R43" s="130">
        <f t="shared" si="34"/>
        <v>5.7816216116572998E-2</v>
      </c>
      <c r="S43" s="130">
        <f t="shared" si="34"/>
        <v>5.4925405310744344E-2</v>
      </c>
      <c r="T43" s="20"/>
      <c r="U43" s="120">
        <v>0.95</v>
      </c>
      <c r="V43" s="72"/>
      <c r="W43" s="73"/>
      <c r="X43" s="74"/>
      <c r="Y43" s="75"/>
      <c r="Z43" s="75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</row>
    <row r="44" spans="1:45" ht="12.75" customHeight="1">
      <c r="A44" s="20"/>
      <c r="B44" s="71"/>
      <c r="C44" s="20"/>
      <c r="D44" s="127"/>
      <c r="E44" s="127" t="s">
        <v>95</v>
      </c>
      <c r="F44" s="127"/>
      <c r="G44" s="127"/>
      <c r="H44" s="128" t="s">
        <v>69</v>
      </c>
      <c r="I44" s="128"/>
      <c r="J44" s="129"/>
      <c r="K44" s="130">
        <f t="shared" si="31"/>
        <v>5.7363677310265038E-2</v>
      </c>
      <c r="L44" s="130">
        <f t="shared" si="31"/>
        <v>5.7363677310265038E-2</v>
      </c>
      <c r="M44" s="130">
        <f t="shared" ref="M44:S44" si="35">L44*$U$44</f>
        <v>5.4495493444751783E-2</v>
      </c>
      <c r="N44" s="130">
        <f t="shared" si="35"/>
        <v>5.1770718772514192E-2</v>
      </c>
      <c r="O44" s="130">
        <f t="shared" si="35"/>
        <v>4.9182182833888477E-2</v>
      </c>
      <c r="P44" s="130">
        <f t="shared" si="35"/>
        <v>4.6723073692194049E-2</v>
      </c>
      <c r="Q44" s="130">
        <f t="shared" si="35"/>
        <v>4.4386920007584346E-2</v>
      </c>
      <c r="R44" s="130">
        <f t="shared" si="35"/>
        <v>4.2167574007205125E-2</v>
      </c>
      <c r="S44" s="130">
        <f t="shared" si="35"/>
        <v>4.0059195306844868E-2</v>
      </c>
      <c r="T44" s="20"/>
      <c r="U44" s="120">
        <v>0.95</v>
      </c>
      <c r="V44" s="72"/>
      <c r="W44" s="73"/>
      <c r="X44" s="74"/>
      <c r="Y44" s="75"/>
      <c r="Z44" s="75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</row>
    <row r="45" spans="1:45" ht="12" customHeight="1">
      <c r="A45" s="20"/>
      <c r="B45" s="71"/>
      <c r="C45" s="20"/>
      <c r="D45" s="23"/>
      <c r="E45" s="23"/>
      <c r="F45" s="20"/>
      <c r="G45" s="20"/>
      <c r="H45" s="66"/>
      <c r="I45" s="6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20"/>
      <c r="U45" s="20"/>
      <c r="V45" s="72"/>
      <c r="W45" s="73"/>
      <c r="X45" s="74"/>
      <c r="Y45" s="75"/>
      <c r="Z45" s="75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</row>
    <row r="46" spans="1:45" ht="12" customHeight="1">
      <c r="A46" s="20"/>
      <c r="B46" s="71"/>
      <c r="C46" s="132" t="s">
        <v>96</v>
      </c>
      <c r="D46" s="88"/>
      <c r="E46" s="88"/>
      <c r="F46" s="133"/>
      <c r="G46" s="133"/>
      <c r="H46" s="90"/>
      <c r="I46" s="90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3"/>
      <c r="U46" s="133"/>
      <c r="V46" s="135"/>
      <c r="W46" s="136"/>
      <c r="X46" s="137"/>
      <c r="Y46" s="138"/>
      <c r="Z46" s="138"/>
      <c r="AA46" s="139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</row>
    <row r="47" spans="1:45" ht="12" customHeight="1">
      <c r="A47" s="20"/>
      <c r="B47" s="71"/>
      <c r="C47" s="140"/>
      <c r="E47" s="20" t="s">
        <v>97</v>
      </c>
      <c r="F47" s="20"/>
      <c r="G47" s="20"/>
      <c r="H47" s="75" t="s">
        <v>98</v>
      </c>
      <c r="I47" s="6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20"/>
      <c r="U47" s="20"/>
      <c r="V47" s="72"/>
      <c r="W47" s="73"/>
      <c r="X47" s="74"/>
      <c r="Y47" s="75" t="s">
        <v>99</v>
      </c>
      <c r="Z47" s="75"/>
      <c r="AA47" s="141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</row>
    <row r="48" spans="1:45" ht="12" customHeight="1">
      <c r="A48" s="20"/>
      <c r="B48" s="71"/>
      <c r="C48" s="142"/>
      <c r="D48" s="23"/>
      <c r="E48" s="23" t="s">
        <v>76</v>
      </c>
      <c r="F48" s="20"/>
      <c r="G48" s="20"/>
      <c r="H48" s="143" t="s">
        <v>100</v>
      </c>
      <c r="I48" s="6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20"/>
      <c r="U48" s="20"/>
      <c r="V48" s="72"/>
      <c r="W48" s="73"/>
      <c r="X48" s="74"/>
      <c r="Y48" s="75" t="s">
        <v>101</v>
      </c>
      <c r="Z48" s="75"/>
      <c r="AA48" s="141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</row>
    <row r="49" spans="1:45" ht="12" customHeight="1">
      <c r="A49" s="20"/>
      <c r="B49" s="71"/>
      <c r="C49" s="142"/>
      <c r="D49" s="23"/>
      <c r="E49" s="23" t="s">
        <v>78</v>
      </c>
      <c r="F49" s="20"/>
      <c r="G49" s="20"/>
      <c r="H49" s="143" t="s">
        <v>102</v>
      </c>
      <c r="I49" s="6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20"/>
      <c r="U49" s="20"/>
      <c r="V49" s="72"/>
      <c r="W49" s="73"/>
      <c r="X49" s="74"/>
      <c r="Y49" s="75" t="s">
        <v>101</v>
      </c>
      <c r="Z49" s="75"/>
      <c r="AA49" s="141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</row>
    <row r="50" spans="1:45" ht="12" customHeight="1">
      <c r="A50" s="20"/>
      <c r="B50" s="71"/>
      <c r="C50" s="142"/>
      <c r="D50" s="23"/>
      <c r="E50" s="23" t="s">
        <v>79</v>
      </c>
      <c r="F50" s="20"/>
      <c r="G50" s="20"/>
      <c r="H50" s="143" t="s">
        <v>103</v>
      </c>
      <c r="I50" s="143" t="s">
        <v>104</v>
      </c>
      <c r="J50" s="143"/>
      <c r="K50" s="116"/>
      <c r="L50" s="116"/>
      <c r="M50" s="116"/>
      <c r="N50" s="116"/>
      <c r="O50" s="116"/>
      <c r="P50" s="116"/>
      <c r="Q50" s="116"/>
      <c r="R50" s="116"/>
      <c r="S50" s="116"/>
      <c r="T50" s="20"/>
      <c r="U50" s="20"/>
      <c r="V50" s="72"/>
      <c r="W50" s="73"/>
      <c r="X50" s="74"/>
      <c r="Y50" s="75" t="s">
        <v>105</v>
      </c>
      <c r="Z50" s="75"/>
      <c r="AA50" s="141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</row>
    <row r="51" spans="1:45" ht="12" customHeight="1">
      <c r="A51" s="20"/>
      <c r="B51" s="71"/>
      <c r="C51" s="142"/>
      <c r="D51" s="23"/>
      <c r="E51" s="23" t="s">
        <v>77</v>
      </c>
      <c r="F51" s="20"/>
      <c r="G51" s="20"/>
      <c r="H51" s="143" t="s">
        <v>106</v>
      </c>
      <c r="I51" s="66"/>
      <c r="J51" s="116"/>
      <c r="K51" s="144"/>
      <c r="L51" s="116"/>
      <c r="M51" s="116"/>
      <c r="N51" s="116"/>
      <c r="O51" s="116"/>
      <c r="P51" s="116"/>
      <c r="Q51" s="116"/>
      <c r="R51" s="116"/>
      <c r="S51" s="116"/>
      <c r="T51" s="20"/>
      <c r="U51" s="20"/>
      <c r="V51" s="72"/>
      <c r="W51" s="73"/>
      <c r="X51" s="74"/>
      <c r="Y51" s="75" t="s">
        <v>107</v>
      </c>
      <c r="Z51" s="75"/>
      <c r="AA51" s="141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</row>
    <row r="52" spans="1:45" ht="12" customHeight="1">
      <c r="A52" s="20"/>
      <c r="B52" s="71"/>
      <c r="C52" s="145"/>
      <c r="D52" s="146"/>
      <c r="E52" s="146" t="s">
        <v>75</v>
      </c>
      <c r="F52" s="147"/>
      <c r="G52" s="147"/>
      <c r="H52" s="148" t="s">
        <v>108</v>
      </c>
      <c r="I52" s="149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47"/>
      <c r="U52" s="147"/>
      <c r="V52" s="151"/>
      <c r="W52" s="152"/>
      <c r="X52" s="153"/>
      <c r="Y52" s="154" t="s">
        <v>99</v>
      </c>
      <c r="Z52" s="154"/>
      <c r="AA52" s="155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</row>
    <row r="53" spans="1:45" ht="12" customHeight="1">
      <c r="A53" s="20"/>
      <c r="B53" s="71"/>
      <c r="C53" s="20"/>
      <c r="D53" s="23"/>
      <c r="E53" s="23"/>
      <c r="F53" s="20"/>
      <c r="G53" s="20"/>
      <c r="H53" s="66"/>
      <c r="I53" s="6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20"/>
      <c r="U53" s="20"/>
      <c r="V53" s="72"/>
      <c r="W53" s="73"/>
      <c r="X53" s="74"/>
      <c r="Y53" s="75"/>
      <c r="Z53" s="75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</row>
    <row r="54" spans="1:45" ht="12" customHeight="1">
      <c r="A54" s="20"/>
      <c r="B54" s="71"/>
      <c r="C54" s="20"/>
      <c r="D54" s="23"/>
      <c r="E54" s="23"/>
      <c r="F54" s="20"/>
      <c r="G54" s="20"/>
      <c r="H54" s="66"/>
      <c r="I54" s="6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20"/>
      <c r="U54" s="20"/>
      <c r="V54" s="72"/>
      <c r="W54" s="73"/>
      <c r="X54" s="74"/>
      <c r="Y54" s="75"/>
      <c r="Z54" s="75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</row>
    <row r="55" spans="1:45" ht="12.75" customHeight="1">
      <c r="A55" s="57"/>
      <c r="B55" s="48"/>
      <c r="C55" s="50" t="s">
        <v>109</v>
      </c>
      <c r="D55" s="49"/>
      <c r="E55" s="49"/>
      <c r="F55" s="51"/>
      <c r="G55" s="49"/>
      <c r="H55" s="52"/>
      <c r="I55" s="52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53"/>
      <c r="W55" s="54"/>
      <c r="X55" s="55"/>
      <c r="Y55" s="56"/>
      <c r="Z55" s="56"/>
      <c r="AA55" s="49"/>
      <c r="AB55" s="49"/>
      <c r="AC55" s="49"/>
      <c r="AD55" s="49"/>
      <c r="AE55" s="49"/>
      <c r="AF55" s="49"/>
      <c r="AG55" s="49"/>
      <c r="AH55" s="49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</row>
    <row r="56" spans="1:45" ht="15" customHeight="1">
      <c r="A56" s="156"/>
      <c r="B56" s="157">
        <v>1</v>
      </c>
      <c r="C56" s="158" t="s">
        <v>110</v>
      </c>
      <c r="D56" s="156"/>
      <c r="E56" s="156"/>
      <c r="F56" s="156"/>
      <c r="G56" s="156"/>
      <c r="H56" s="159"/>
      <c r="I56" s="159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60"/>
      <c r="W56" s="161"/>
      <c r="X56" s="162"/>
      <c r="Y56" s="163"/>
      <c r="Z56" s="163"/>
      <c r="AA56" s="156"/>
      <c r="AB56" s="156"/>
      <c r="AC56" s="156"/>
      <c r="AD56" s="156"/>
      <c r="AE56" s="156"/>
      <c r="AF56" s="156"/>
      <c r="AG56" s="156"/>
      <c r="AH56" s="156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</row>
    <row r="57" spans="1:45" ht="15" customHeight="1">
      <c r="A57" s="20"/>
      <c r="B57" s="71"/>
      <c r="C57" s="20"/>
      <c r="D57" s="22"/>
      <c r="E57" s="20"/>
      <c r="F57" s="20"/>
      <c r="G57" s="20"/>
      <c r="H57" s="66"/>
      <c r="I57" s="66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142"/>
      <c r="W57" s="141"/>
      <c r="X57" s="74"/>
      <c r="Y57" s="75"/>
      <c r="Z57" s="75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</row>
    <row r="58" spans="1:45" ht="15" customHeight="1">
      <c r="A58" s="20"/>
      <c r="B58" s="71" t="s">
        <v>111</v>
      </c>
      <c r="C58" s="20"/>
      <c r="D58" s="20"/>
      <c r="E58" s="20"/>
      <c r="F58" s="20"/>
      <c r="G58" s="20"/>
      <c r="H58" s="66"/>
      <c r="I58" s="66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142"/>
      <c r="W58" s="141"/>
      <c r="X58" s="74"/>
      <c r="Y58" s="75"/>
      <c r="Z58" s="75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</row>
    <row r="59" spans="1:45" ht="15" customHeight="1">
      <c r="A59" s="20"/>
      <c r="B59" s="71"/>
      <c r="C59" s="76"/>
      <c r="D59" s="22"/>
      <c r="E59" s="20"/>
      <c r="F59" s="20"/>
      <c r="G59" s="20"/>
      <c r="H59" s="66"/>
      <c r="I59" s="66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142"/>
      <c r="W59" s="141"/>
      <c r="X59" s="74"/>
      <c r="Y59" s="75"/>
      <c r="Z59" s="75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</row>
    <row r="60" spans="1:45" ht="15" customHeight="1">
      <c r="A60" s="20"/>
      <c r="B60" s="71">
        <v>1</v>
      </c>
      <c r="C60" s="76" t="s">
        <v>112</v>
      </c>
      <c r="D60" s="22"/>
      <c r="E60" s="20"/>
      <c r="F60" s="20"/>
      <c r="G60" s="20"/>
      <c r="H60" s="66" t="s">
        <v>113</v>
      </c>
      <c r="I60" s="66"/>
      <c r="J60" s="84">
        <f t="shared" ref="J60:S60" si="36">J64*J91</f>
        <v>85.083899465689441</v>
      </c>
      <c r="K60" s="84">
        <f t="shared" si="36"/>
        <v>330.69058506173445</v>
      </c>
      <c r="L60" s="84">
        <f t="shared" si="36"/>
        <v>336.05862494700898</v>
      </c>
      <c r="M60" s="84">
        <f t="shared" si="36"/>
        <v>387.58436793515324</v>
      </c>
      <c r="N60" s="84">
        <f t="shared" si="36"/>
        <v>390.26807340871028</v>
      </c>
      <c r="O60" s="84">
        <f t="shared" si="36"/>
        <v>548.57745753333381</v>
      </c>
      <c r="P60" s="84">
        <f t="shared" si="36"/>
        <v>728.53884410774981</v>
      </c>
      <c r="Q60" s="84">
        <f t="shared" si="36"/>
        <v>929.65735810730712</v>
      </c>
      <c r="R60" s="84">
        <f t="shared" si="36"/>
        <v>1151.444851989681</v>
      </c>
      <c r="S60" s="84">
        <f t="shared" si="36"/>
        <v>1393.4198349682961</v>
      </c>
      <c r="T60" s="20"/>
      <c r="U60" s="20"/>
      <c r="V60" s="68">
        <f>IFERROR(POWER(M60/J60,1/3)-1,"N.A.")</f>
        <v>0.65770134176547246</v>
      </c>
      <c r="W60" s="69">
        <f>IFERROR(POWER(S60/M60,1/6)-1,"N.A.")</f>
        <v>0.23771110990396638</v>
      </c>
      <c r="X60" s="74"/>
      <c r="Y60" s="75"/>
      <c r="Z60" s="75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</row>
    <row r="61" spans="1:45" ht="15" customHeight="1">
      <c r="A61" s="20"/>
      <c r="B61" s="71"/>
      <c r="C61" s="20"/>
      <c r="D61" s="22"/>
      <c r="E61" s="20" t="s">
        <v>83</v>
      </c>
      <c r="F61" s="20"/>
      <c r="G61" s="20"/>
      <c r="H61" s="66" t="s">
        <v>69</v>
      </c>
      <c r="I61" s="66"/>
      <c r="J61" s="20"/>
      <c r="K61" s="83">
        <f t="shared" ref="K61:S61" si="37">K60/J60-1</f>
        <v>2.886641152302702</v>
      </c>
      <c r="L61" s="83">
        <f t="shared" si="37"/>
        <v>1.6232817406254263E-2</v>
      </c>
      <c r="M61" s="83">
        <f t="shared" si="37"/>
        <v>0.15332367379729961</v>
      </c>
      <c r="N61" s="83">
        <f t="shared" si="37"/>
        <v>6.9241839856815091E-3</v>
      </c>
      <c r="O61" s="83">
        <f t="shared" si="37"/>
        <v>0.40564267207897697</v>
      </c>
      <c r="P61" s="83">
        <f t="shared" si="37"/>
        <v>0.32805100556557387</v>
      </c>
      <c r="Q61" s="83">
        <f t="shared" si="37"/>
        <v>0.27605736554221694</v>
      </c>
      <c r="R61" s="83">
        <f t="shared" si="37"/>
        <v>0.23856907273225025</v>
      </c>
      <c r="S61" s="83">
        <f t="shared" si="37"/>
        <v>0.21014899893858185</v>
      </c>
      <c r="T61" s="20"/>
      <c r="U61" s="20"/>
      <c r="V61" s="142"/>
      <c r="W61" s="141"/>
      <c r="X61" s="74"/>
      <c r="Y61" s="75"/>
      <c r="Z61" s="75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</row>
    <row r="62" spans="1:45" ht="15" customHeight="1">
      <c r="A62" s="20"/>
      <c r="B62" s="71"/>
      <c r="C62" s="20" t="s">
        <v>114</v>
      </c>
      <c r="D62" s="22"/>
      <c r="E62" s="20"/>
      <c r="F62" s="20"/>
      <c r="G62" s="20"/>
      <c r="H62" s="66"/>
      <c r="I62" s="66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142"/>
      <c r="W62" s="141"/>
      <c r="X62" s="74"/>
      <c r="Y62" s="75"/>
      <c r="Z62" s="75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</row>
    <row r="63" spans="1:45" ht="15" customHeight="1">
      <c r="A63" s="20"/>
      <c r="B63" s="71"/>
      <c r="C63" s="76"/>
      <c r="D63" s="76"/>
      <c r="E63" s="20"/>
      <c r="F63" s="20"/>
      <c r="G63" s="20"/>
      <c r="H63" s="66"/>
      <c r="I63" s="66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20"/>
      <c r="U63" s="20"/>
      <c r="V63" s="68"/>
      <c r="W63" s="69"/>
      <c r="X63" s="74"/>
      <c r="Y63" s="75"/>
      <c r="Z63" s="75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</row>
    <row r="64" spans="1:45" ht="15" customHeight="1">
      <c r="A64" s="20"/>
      <c r="B64" s="71"/>
      <c r="C64" s="76" t="s">
        <v>115</v>
      </c>
      <c r="D64" s="76" t="s">
        <v>116</v>
      </c>
      <c r="E64" s="20"/>
      <c r="F64" s="20"/>
      <c r="G64" s="20"/>
      <c r="H64" s="66" t="s">
        <v>117</v>
      </c>
      <c r="I64" s="66"/>
      <c r="J64" s="84">
        <f>J66</f>
        <v>0.2836129982189648</v>
      </c>
      <c r="K64" s="84">
        <f t="shared" ref="K64:S64" si="38">K66-J66</f>
        <v>1.1273542672559129</v>
      </c>
      <c r="L64" s="84">
        <f t="shared" si="38"/>
        <v>1.1160618540675575</v>
      </c>
      <c r="M64" s="84">
        <f t="shared" si="38"/>
        <v>1.3842298854826902</v>
      </c>
      <c r="N64" s="84">
        <f t="shared" si="38"/>
        <v>1.2324254949748745</v>
      </c>
      <c r="O64" s="84">
        <f t="shared" si="38"/>
        <v>1.5525777100000013</v>
      </c>
      <c r="P64" s="84">
        <f t="shared" si="38"/>
        <v>1.8680483182249992</v>
      </c>
      <c r="Q64" s="84">
        <f t="shared" si="38"/>
        <v>2.1788844330640007</v>
      </c>
      <c r="R64" s="84">
        <f t="shared" si="38"/>
        <v>2.4851327740784477</v>
      </c>
      <c r="S64" s="84">
        <f t="shared" si="38"/>
        <v>2.786839669936592</v>
      </c>
      <c r="T64" s="20"/>
      <c r="U64" s="20"/>
      <c r="V64" s="68">
        <f>IFERROR(POWER(M64/J64,1/3)-1,"N.A.")</f>
        <v>0.69626628496756338</v>
      </c>
      <c r="W64" s="69">
        <f>IFERROR(POWER(S64/M64,1/6)-1,"N.A.")</f>
        <v>0.1237006370996625</v>
      </c>
      <c r="X64" s="74"/>
      <c r="Y64" s="75"/>
      <c r="Z64" s="75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</row>
    <row r="65" spans="1:45" ht="15" customHeight="1">
      <c r="A65" s="20"/>
      <c r="B65" s="71"/>
      <c r="C65" s="20"/>
      <c r="D65" s="20"/>
      <c r="E65" s="20"/>
      <c r="F65" s="20"/>
      <c r="G65" s="20"/>
      <c r="H65" s="66"/>
      <c r="I65" s="66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20"/>
      <c r="U65" s="20"/>
      <c r="V65" s="142"/>
      <c r="W65" s="141"/>
      <c r="X65" s="74"/>
      <c r="Y65" s="75"/>
      <c r="Z65" s="75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</row>
    <row r="66" spans="1:45" ht="15" customHeight="1">
      <c r="A66" s="20"/>
      <c r="B66" s="71"/>
      <c r="C66" s="76" t="s">
        <v>118</v>
      </c>
      <c r="D66" s="76" t="s">
        <v>119</v>
      </c>
      <c r="E66" s="20"/>
      <c r="F66" s="20"/>
      <c r="G66" s="20"/>
      <c r="H66" s="66" t="s">
        <v>117</v>
      </c>
      <c r="I66" s="66"/>
      <c r="J66" s="116">
        <f t="shared" ref="J66:S66" si="39">J68*J88</f>
        <v>0.2836129982189648</v>
      </c>
      <c r="K66" s="116">
        <f t="shared" si="39"/>
        <v>1.4109672654748777</v>
      </c>
      <c r="L66" s="116">
        <f t="shared" si="39"/>
        <v>2.5270291195424353</v>
      </c>
      <c r="M66" s="116">
        <f t="shared" si="39"/>
        <v>3.9112590050251255</v>
      </c>
      <c r="N66" s="116">
        <f t="shared" si="39"/>
        <v>5.1436845</v>
      </c>
      <c r="O66" s="116">
        <f t="shared" si="39"/>
        <v>6.6962622100000013</v>
      </c>
      <c r="P66" s="116">
        <f t="shared" si="39"/>
        <v>8.5643105282250005</v>
      </c>
      <c r="Q66" s="116">
        <f t="shared" si="39"/>
        <v>10.743194961289001</v>
      </c>
      <c r="R66" s="116">
        <f t="shared" si="39"/>
        <v>13.228327735367449</v>
      </c>
      <c r="S66" s="116">
        <f t="shared" si="39"/>
        <v>16.015167405304041</v>
      </c>
      <c r="T66" s="20"/>
      <c r="U66" s="20"/>
      <c r="V66" s="142"/>
      <c r="W66" s="141"/>
      <c r="X66" s="74"/>
      <c r="Y66" s="75"/>
      <c r="Z66" s="75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</row>
    <row r="67" spans="1:45" ht="15" customHeight="1">
      <c r="A67" s="20"/>
      <c r="B67" s="71"/>
      <c r="C67" s="20"/>
      <c r="D67" s="20"/>
      <c r="E67" s="20"/>
      <c r="F67" s="20"/>
      <c r="G67" s="20"/>
      <c r="H67" s="66"/>
      <c r="I67" s="66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20"/>
      <c r="U67" s="20"/>
      <c r="V67" s="142"/>
      <c r="W67" s="141"/>
      <c r="X67" s="74"/>
      <c r="Y67" s="75"/>
      <c r="Z67" s="75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</row>
    <row r="68" spans="1:45" ht="15" customHeight="1">
      <c r="A68" s="20"/>
      <c r="B68" s="71"/>
      <c r="C68" s="20"/>
      <c r="D68" s="76"/>
      <c r="E68" s="76" t="s">
        <v>120</v>
      </c>
      <c r="F68" s="20"/>
      <c r="G68" s="20"/>
      <c r="H68" s="66" t="s">
        <v>117</v>
      </c>
      <c r="I68" s="66"/>
      <c r="J68" s="84">
        <f t="shared" ref="J68:S68" si="40">SUM(J69:J71)</f>
        <v>283.61299821896478</v>
      </c>
      <c r="K68" s="84">
        <f t="shared" si="40"/>
        <v>282.19345309497555</v>
      </c>
      <c r="L68" s="84">
        <f t="shared" si="40"/>
        <v>280.78101328249284</v>
      </c>
      <c r="M68" s="84">
        <f t="shared" si="40"/>
        <v>279.37564321608039</v>
      </c>
      <c r="N68" s="84">
        <f t="shared" si="40"/>
        <v>278.03699999999998</v>
      </c>
      <c r="O68" s="84">
        <f t="shared" si="40"/>
        <v>276.70505000000003</v>
      </c>
      <c r="P68" s="84">
        <f t="shared" si="40"/>
        <v>275.37975975000001</v>
      </c>
      <c r="Q68" s="84">
        <f t="shared" si="40"/>
        <v>274.06109595125002</v>
      </c>
      <c r="R68" s="84">
        <f t="shared" si="40"/>
        <v>272.74902547149378</v>
      </c>
      <c r="S68" s="84">
        <f t="shared" si="40"/>
        <v>271.4435153441363</v>
      </c>
      <c r="T68" s="20"/>
      <c r="U68" s="20"/>
      <c r="V68" s="142"/>
      <c r="W68" s="141"/>
      <c r="X68" s="74"/>
      <c r="Y68" s="75"/>
      <c r="Z68" s="75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</row>
    <row r="69" spans="1:45" ht="15" customHeight="1">
      <c r="A69" s="20"/>
      <c r="B69" s="71"/>
      <c r="C69" s="20"/>
      <c r="D69" s="20"/>
      <c r="E69" s="20"/>
      <c r="F69" s="20" t="s">
        <v>121</v>
      </c>
      <c r="G69" s="20"/>
      <c r="H69" s="66" t="s">
        <v>117</v>
      </c>
      <c r="I69" s="66"/>
      <c r="J69" s="84">
        <f t="shared" ref="J69:S69" si="41">J82</f>
        <v>186.17568022392524</v>
      </c>
      <c r="K69" s="84">
        <f t="shared" si="41"/>
        <v>185.24480182280561</v>
      </c>
      <c r="L69" s="84">
        <f t="shared" si="41"/>
        <v>184.31857781369158</v>
      </c>
      <c r="M69" s="84">
        <f t="shared" si="41"/>
        <v>183.39698492462313</v>
      </c>
      <c r="N69" s="84">
        <f t="shared" si="41"/>
        <v>182.48000000000002</v>
      </c>
      <c r="O69" s="84">
        <f t="shared" si="41"/>
        <v>181.56760000000003</v>
      </c>
      <c r="P69" s="84">
        <f t="shared" si="41"/>
        <v>180.65976200000003</v>
      </c>
      <c r="Q69" s="84">
        <f t="shared" si="41"/>
        <v>179.75646319000003</v>
      </c>
      <c r="R69" s="84">
        <f t="shared" si="41"/>
        <v>178.85768087405003</v>
      </c>
      <c r="S69" s="84">
        <f t="shared" si="41"/>
        <v>177.96339246967977</v>
      </c>
      <c r="T69" s="20"/>
      <c r="U69" s="20"/>
      <c r="V69" s="142"/>
      <c r="W69" s="141"/>
      <c r="X69" s="74"/>
      <c r="Y69" s="75"/>
      <c r="Z69" s="75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</row>
    <row r="70" spans="1:45" ht="15" customHeight="1">
      <c r="A70" s="20"/>
      <c r="B70" s="71"/>
      <c r="C70" s="20"/>
      <c r="D70" s="20"/>
      <c r="E70" s="20"/>
      <c r="F70" s="20" t="s">
        <v>122</v>
      </c>
      <c r="G70" s="20"/>
      <c r="H70" s="66" t="s">
        <v>117</v>
      </c>
      <c r="I70" s="66"/>
      <c r="J70" s="164">
        <f t="shared" ref="J70:M70" si="42">K70/(1+K80)</f>
        <v>85.60938912532643</v>
      </c>
      <c r="K70" s="164">
        <f t="shared" si="42"/>
        <v>85.181342179699797</v>
      </c>
      <c r="L70" s="164">
        <f t="shared" si="42"/>
        <v>84.755435468801295</v>
      </c>
      <c r="M70" s="164">
        <f t="shared" si="42"/>
        <v>84.331658291457288</v>
      </c>
      <c r="N70" s="165">
        <v>83.91</v>
      </c>
      <c r="O70" s="84">
        <f t="shared" ref="O70:S70" si="43">N70*(1+O80)</f>
        <v>83.490449999999996</v>
      </c>
      <c r="P70" s="84">
        <f t="shared" si="43"/>
        <v>83.072997749999999</v>
      </c>
      <c r="Q70" s="84">
        <f t="shared" si="43"/>
        <v>82.657632761249999</v>
      </c>
      <c r="R70" s="84">
        <f t="shared" si="43"/>
        <v>82.244344597443742</v>
      </c>
      <c r="S70" s="84">
        <f t="shared" si="43"/>
        <v>81.833122874456521</v>
      </c>
      <c r="T70" s="20"/>
      <c r="U70" s="20"/>
      <c r="V70" s="142"/>
      <c r="W70" s="141"/>
      <c r="X70" s="74"/>
      <c r="Y70" s="75"/>
      <c r="Z70" s="75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</row>
    <row r="71" spans="1:45" ht="15" customHeight="1">
      <c r="A71" s="20"/>
      <c r="B71" s="71"/>
      <c r="C71" s="20"/>
      <c r="D71" s="20"/>
      <c r="E71" s="20"/>
      <c r="F71" s="20" t="s">
        <v>123</v>
      </c>
      <c r="G71" s="20"/>
      <c r="H71" s="66" t="s">
        <v>117</v>
      </c>
      <c r="I71" s="66"/>
      <c r="J71" s="84">
        <f t="shared" ref="J71:K71" si="44">K71/(1+K77)</f>
        <v>11.82792886971308</v>
      </c>
      <c r="K71" s="84">
        <f t="shared" si="44"/>
        <v>11.767309092470166</v>
      </c>
      <c r="L71" s="166">
        <v>11.707000000000001</v>
      </c>
      <c r="M71" s="165">
        <v>11.647</v>
      </c>
      <c r="N71" s="84">
        <v>11.647</v>
      </c>
      <c r="O71" s="84">
        <v>11.647</v>
      </c>
      <c r="P71" s="84">
        <v>11.647</v>
      </c>
      <c r="Q71" s="84">
        <v>11.647</v>
      </c>
      <c r="R71" s="84">
        <v>11.647</v>
      </c>
      <c r="S71" s="84">
        <v>11.647</v>
      </c>
      <c r="T71" s="20"/>
      <c r="U71" s="20"/>
      <c r="V71" s="142"/>
      <c r="W71" s="141"/>
      <c r="X71" s="74"/>
      <c r="Y71" s="167" t="s">
        <v>124</v>
      </c>
      <c r="Z71" s="75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</row>
    <row r="72" spans="1:45" ht="15.75" customHeight="1">
      <c r="A72" s="20"/>
      <c r="B72" s="71"/>
      <c r="C72" s="20"/>
      <c r="D72" s="20"/>
      <c r="E72" s="20"/>
      <c r="F72" s="20"/>
      <c r="G72" s="20"/>
      <c r="H72" s="66"/>
      <c r="I72" s="66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142"/>
      <c r="W72" s="141"/>
      <c r="X72" s="74"/>
      <c r="Y72" s="75"/>
      <c r="Z72" s="75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</row>
    <row r="73" spans="1:45" ht="15.75" customHeight="1" outlineLevel="1">
      <c r="A73" s="20"/>
      <c r="B73" s="71"/>
      <c r="C73" s="20"/>
      <c r="D73" s="20"/>
      <c r="E73" s="168" t="s">
        <v>83</v>
      </c>
      <c r="F73" s="168"/>
      <c r="G73" s="168"/>
      <c r="H73" s="169"/>
      <c r="I73" s="169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20"/>
      <c r="U73" s="20"/>
      <c r="V73" s="142"/>
      <c r="W73" s="141"/>
      <c r="X73" s="74"/>
      <c r="Y73" s="75"/>
      <c r="Z73" s="75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</row>
    <row r="74" spans="1:45" ht="15.75" customHeight="1" outlineLevel="1">
      <c r="A74" s="20"/>
      <c r="B74" s="71"/>
      <c r="C74" s="20"/>
      <c r="D74" s="20"/>
      <c r="E74" s="168"/>
      <c r="F74" s="168" t="s">
        <v>125</v>
      </c>
      <c r="G74" s="168"/>
      <c r="H74" s="169" t="s">
        <v>69</v>
      </c>
      <c r="I74" s="169"/>
      <c r="J74" s="168"/>
      <c r="K74" s="170">
        <f t="shared" ref="K74:S76" si="45">K68/J68-1</f>
        <v>-5.0052188471745307E-3</v>
      </c>
      <c r="L74" s="170">
        <f t="shared" si="45"/>
        <v>-5.005218218182228E-3</v>
      </c>
      <c r="M74" s="170">
        <f t="shared" si="45"/>
        <v>-5.0052175892624229E-3</v>
      </c>
      <c r="N74" s="170">
        <f t="shared" si="45"/>
        <v>-4.7915530526225769E-3</v>
      </c>
      <c r="O74" s="170">
        <f t="shared" si="45"/>
        <v>-4.7905494592443976E-3</v>
      </c>
      <c r="P74" s="170">
        <f t="shared" si="45"/>
        <v>-4.7895412461753661E-3</v>
      </c>
      <c r="Q74" s="170">
        <f t="shared" si="45"/>
        <v>-4.7885283941968559E-3</v>
      </c>
      <c r="R74" s="170">
        <f t="shared" si="45"/>
        <v>-4.7875108840316205E-3</v>
      </c>
      <c r="S74" s="170">
        <f t="shared" si="45"/>
        <v>-4.7864886963415731E-3</v>
      </c>
      <c r="T74" s="20"/>
      <c r="U74" s="20"/>
      <c r="V74" s="142"/>
      <c r="W74" s="141"/>
      <c r="X74" s="74"/>
      <c r="Y74" s="75"/>
      <c r="Z74" s="75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</row>
    <row r="75" spans="1:45" ht="15.75" customHeight="1" outlineLevel="1">
      <c r="A75" s="20"/>
      <c r="B75" s="71"/>
      <c r="C75" s="20"/>
      <c r="D75" s="20"/>
      <c r="E75" s="168"/>
      <c r="F75" s="168" t="s">
        <v>126</v>
      </c>
      <c r="G75" s="168"/>
      <c r="H75" s="169" t="s">
        <v>69</v>
      </c>
      <c r="I75" s="169"/>
      <c r="J75" s="168"/>
      <c r="K75" s="170">
        <f t="shared" si="45"/>
        <v>-5.0000000000000044E-3</v>
      </c>
      <c r="L75" s="170">
        <f t="shared" si="45"/>
        <v>-5.0000000000000044E-3</v>
      </c>
      <c r="M75" s="170">
        <f t="shared" si="45"/>
        <v>-5.0000000000000044E-3</v>
      </c>
      <c r="N75" s="170">
        <f t="shared" ref="N75:S75" si="46">M75*$T$75</f>
        <v>-2.5000000000000022E-3</v>
      </c>
      <c r="O75" s="170">
        <f t="shared" si="46"/>
        <v>-1.2500000000000011E-3</v>
      </c>
      <c r="P75" s="170">
        <f t="shared" si="46"/>
        <v>-6.2500000000000056E-4</v>
      </c>
      <c r="Q75" s="170">
        <f t="shared" si="46"/>
        <v>-3.1250000000000028E-4</v>
      </c>
      <c r="R75" s="170">
        <f t="shared" si="46"/>
        <v>-1.5625000000000014E-4</v>
      </c>
      <c r="S75" s="170">
        <f t="shared" si="46"/>
        <v>-7.8125000000000069E-5</v>
      </c>
      <c r="T75" s="171">
        <v>0.5</v>
      </c>
      <c r="U75" s="20"/>
      <c r="V75" s="142"/>
      <c r="W75" s="141"/>
      <c r="X75" s="74"/>
      <c r="Y75" s="75"/>
      <c r="Z75" s="75" t="s">
        <v>127</v>
      </c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</row>
    <row r="76" spans="1:45" ht="15.75" customHeight="1" outlineLevel="1">
      <c r="A76" s="20"/>
      <c r="B76" s="71"/>
      <c r="C76" s="20"/>
      <c r="D76" s="20"/>
      <c r="E76" s="168"/>
      <c r="F76" s="168" t="s">
        <v>128</v>
      </c>
      <c r="G76" s="168"/>
      <c r="H76" s="169" t="s">
        <v>69</v>
      </c>
      <c r="I76" s="169"/>
      <c r="J76" s="168"/>
      <c r="K76" s="172">
        <f t="shared" si="45"/>
        <v>-5.0000000000000044E-3</v>
      </c>
      <c r="L76" s="172">
        <f t="shared" si="45"/>
        <v>-5.0000000000000044E-3</v>
      </c>
      <c r="M76" s="172">
        <f t="shared" si="45"/>
        <v>-5.0000000000000044E-3</v>
      </c>
      <c r="N76" s="172">
        <f t="shared" si="45"/>
        <v>-5.0000000000000044E-3</v>
      </c>
      <c r="O76" s="172">
        <f t="shared" si="45"/>
        <v>-5.0000000000000044E-3</v>
      </c>
      <c r="P76" s="172">
        <f t="shared" si="45"/>
        <v>-5.0000000000000044E-3</v>
      </c>
      <c r="Q76" s="172">
        <f t="shared" si="45"/>
        <v>-5.0000000000000044E-3</v>
      </c>
      <c r="R76" s="172">
        <f t="shared" si="45"/>
        <v>-5.0000000000001155E-3</v>
      </c>
      <c r="S76" s="172">
        <f t="shared" si="45"/>
        <v>-5.0000000000000044E-3</v>
      </c>
      <c r="T76" s="20"/>
      <c r="U76" s="20"/>
      <c r="V76" s="142"/>
      <c r="W76" s="141"/>
      <c r="X76" s="74"/>
      <c r="Y76" s="75"/>
      <c r="Z76" s="75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</row>
    <row r="77" spans="1:45" ht="15.75" customHeight="1" outlineLevel="1">
      <c r="A77" s="20"/>
      <c r="B77" s="71"/>
      <c r="C77" s="20"/>
      <c r="D77" s="20"/>
      <c r="E77" s="168"/>
      <c r="F77" s="168" t="s">
        <v>129</v>
      </c>
      <c r="G77" s="168"/>
      <c r="H77" s="169" t="s">
        <v>69</v>
      </c>
      <c r="I77" s="169"/>
      <c r="J77" s="168"/>
      <c r="K77" s="170">
        <f t="shared" ref="K77:L77" si="47">$M$77</f>
        <v>-5.1251388058427549E-3</v>
      </c>
      <c r="L77" s="170">
        <f t="shared" si="47"/>
        <v>-5.1251388058427549E-3</v>
      </c>
      <c r="M77" s="170">
        <f>M71/L71-1</f>
        <v>-5.1251388058427549E-3</v>
      </c>
      <c r="N77" s="170">
        <f t="shared" ref="N77:S77" si="48">$M$77</f>
        <v>-5.1251388058427549E-3</v>
      </c>
      <c r="O77" s="170">
        <f t="shared" si="48"/>
        <v>-5.1251388058427549E-3</v>
      </c>
      <c r="P77" s="170">
        <f t="shared" si="48"/>
        <v>-5.1251388058427549E-3</v>
      </c>
      <c r="Q77" s="170">
        <f t="shared" si="48"/>
        <v>-5.1251388058427549E-3</v>
      </c>
      <c r="R77" s="170">
        <f t="shared" si="48"/>
        <v>-5.1251388058427549E-3</v>
      </c>
      <c r="S77" s="170">
        <f t="shared" si="48"/>
        <v>-5.1251388058427549E-3</v>
      </c>
      <c r="T77" s="20"/>
      <c r="U77" s="20"/>
      <c r="V77" s="142"/>
      <c r="W77" s="141"/>
      <c r="X77" s="74"/>
      <c r="Y77" s="75"/>
      <c r="Z77" s="75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</row>
    <row r="78" spans="1:45" ht="15.75" customHeight="1">
      <c r="A78" s="20"/>
      <c r="B78" s="71"/>
      <c r="C78" s="20"/>
      <c r="D78" s="20"/>
      <c r="E78" s="20"/>
      <c r="F78" s="20"/>
      <c r="G78" s="20"/>
      <c r="H78" s="66"/>
      <c r="I78" s="66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142"/>
      <c r="W78" s="141"/>
      <c r="X78" s="74"/>
      <c r="Y78" s="75"/>
      <c r="Z78" s="75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</row>
    <row r="79" spans="1:45" ht="15.75" customHeight="1">
      <c r="A79" s="20"/>
      <c r="B79" s="71"/>
      <c r="C79" s="20"/>
      <c r="D79" s="76" t="s">
        <v>130</v>
      </c>
      <c r="E79" s="20"/>
      <c r="F79" s="20"/>
      <c r="G79" s="20"/>
      <c r="H79" s="66"/>
      <c r="I79" s="66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142"/>
      <c r="W79" s="141"/>
      <c r="X79" s="74"/>
      <c r="Y79" s="75"/>
      <c r="Z79" s="75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</row>
    <row r="80" spans="1:45" ht="15.75" customHeight="1">
      <c r="A80" s="20"/>
      <c r="B80" s="71"/>
      <c r="C80" s="20"/>
      <c r="D80" s="20"/>
      <c r="E80" s="76" t="s">
        <v>83</v>
      </c>
      <c r="F80" s="20"/>
      <c r="G80" s="20"/>
      <c r="H80" s="66" t="s">
        <v>69</v>
      </c>
      <c r="I80" s="66"/>
      <c r="J80" s="173">
        <v>-5.0000000000000001E-3</v>
      </c>
      <c r="K80" s="173">
        <v>-5.0000000000000001E-3</v>
      </c>
      <c r="L80" s="173">
        <v>-5.0000000000000001E-3</v>
      </c>
      <c r="M80" s="173">
        <v>-5.0000000000000001E-3</v>
      </c>
      <c r="N80" s="173">
        <v>-5.0000000000000001E-3</v>
      </c>
      <c r="O80" s="173">
        <v>-5.0000000000000001E-3</v>
      </c>
      <c r="P80" s="173">
        <v>-5.0000000000000001E-3</v>
      </c>
      <c r="Q80" s="173">
        <v>-5.0000000000000001E-3</v>
      </c>
      <c r="R80" s="173">
        <v>-5.0000000000000001E-3</v>
      </c>
      <c r="S80" s="173">
        <v>-5.0000000000000001E-3</v>
      </c>
      <c r="T80" s="20"/>
      <c r="U80" s="20"/>
      <c r="V80" s="142"/>
      <c r="W80" s="141"/>
      <c r="X80" s="74"/>
      <c r="Y80" s="75"/>
      <c r="Z80" s="75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45" ht="15.75" customHeight="1">
      <c r="A81" s="20"/>
      <c r="B81" s="71"/>
      <c r="C81" s="20"/>
      <c r="D81" s="20"/>
      <c r="E81" s="20"/>
      <c r="F81" s="20"/>
      <c r="G81" s="20"/>
      <c r="H81" s="66"/>
      <c r="I81" s="66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142"/>
      <c r="W81" s="141"/>
      <c r="X81" s="74"/>
      <c r="Y81" s="75"/>
      <c r="Z81" s="75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</row>
    <row r="82" spans="1:45" ht="15.75" customHeight="1">
      <c r="A82" s="20"/>
      <c r="B82" s="71"/>
      <c r="C82" s="20"/>
      <c r="D82" s="76" t="s">
        <v>131</v>
      </c>
      <c r="E82" s="20"/>
      <c r="F82" s="20"/>
      <c r="G82" s="20"/>
      <c r="H82" s="66" t="s">
        <v>117</v>
      </c>
      <c r="I82" s="66"/>
      <c r="J82" s="116">
        <f t="shared" ref="J82:M82" si="49">K82/(J83+1)</f>
        <v>186.17568022392524</v>
      </c>
      <c r="K82" s="116">
        <f t="shared" si="49"/>
        <v>185.24480182280561</v>
      </c>
      <c r="L82" s="116">
        <f t="shared" si="49"/>
        <v>184.31857781369158</v>
      </c>
      <c r="M82" s="116">
        <f t="shared" si="49"/>
        <v>183.39698492462313</v>
      </c>
      <c r="N82" s="116">
        <f>SUM(N84:N86)</f>
        <v>182.48000000000002</v>
      </c>
      <c r="O82" s="116">
        <f t="shared" ref="O82:S82" si="50">N82*(1+O83)</f>
        <v>181.56760000000003</v>
      </c>
      <c r="P82" s="116">
        <f t="shared" si="50"/>
        <v>180.65976200000003</v>
      </c>
      <c r="Q82" s="116">
        <f t="shared" si="50"/>
        <v>179.75646319000003</v>
      </c>
      <c r="R82" s="116">
        <f t="shared" si="50"/>
        <v>178.85768087405003</v>
      </c>
      <c r="S82" s="116">
        <f t="shared" si="50"/>
        <v>177.96339246967977</v>
      </c>
      <c r="T82" s="20"/>
      <c r="U82" s="20"/>
      <c r="V82" s="142"/>
      <c r="W82" s="141"/>
      <c r="X82" s="74"/>
      <c r="Y82" s="167" t="s">
        <v>132</v>
      </c>
      <c r="Z82" s="75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</row>
    <row r="83" spans="1:45" ht="15" customHeight="1">
      <c r="A83" s="20"/>
      <c r="B83" s="71"/>
      <c r="C83" s="20"/>
      <c r="D83" s="76"/>
      <c r="E83" s="76" t="s">
        <v>83</v>
      </c>
      <c r="F83" s="20"/>
      <c r="G83" s="20"/>
      <c r="H83" s="66" t="s">
        <v>69</v>
      </c>
      <c r="I83" s="66"/>
      <c r="J83" s="173">
        <v>-5.0000000000000001E-3</v>
      </c>
      <c r="K83" s="173">
        <v>-5.0000000000000001E-3</v>
      </c>
      <c r="L83" s="173">
        <v>-5.0000000000000001E-3</v>
      </c>
      <c r="M83" s="173">
        <v>-5.0000000000000001E-3</v>
      </c>
      <c r="N83" s="173">
        <v>-5.0000000000000001E-3</v>
      </c>
      <c r="O83" s="173">
        <v>-5.0000000000000001E-3</v>
      </c>
      <c r="P83" s="173">
        <v>-5.0000000000000001E-3</v>
      </c>
      <c r="Q83" s="173">
        <v>-5.0000000000000001E-3</v>
      </c>
      <c r="R83" s="173">
        <v>-5.0000000000000001E-3</v>
      </c>
      <c r="S83" s="173">
        <v>-5.0000000000000001E-3</v>
      </c>
      <c r="T83" s="20"/>
      <c r="U83" s="20"/>
      <c r="V83" s="142"/>
      <c r="W83" s="141"/>
      <c r="X83" s="74"/>
      <c r="Y83" s="75"/>
      <c r="Z83" s="75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</row>
    <row r="84" spans="1:45" ht="15" customHeight="1">
      <c r="A84" s="20"/>
      <c r="B84" s="71"/>
      <c r="C84" s="20"/>
      <c r="D84" s="76"/>
      <c r="E84" s="76"/>
      <c r="F84" s="20" t="s">
        <v>133</v>
      </c>
      <c r="G84" s="20"/>
      <c r="H84" s="66" t="s">
        <v>117</v>
      </c>
      <c r="I84" s="66"/>
      <c r="J84" s="20"/>
      <c r="K84" s="20"/>
      <c r="L84" s="20"/>
      <c r="M84" s="116"/>
      <c r="N84" s="123">
        <v>2.11</v>
      </c>
      <c r="O84" s="20"/>
      <c r="P84" s="20"/>
      <c r="Q84" s="20"/>
      <c r="R84" s="20"/>
      <c r="S84" s="20"/>
      <c r="T84" s="20"/>
      <c r="U84" s="20"/>
      <c r="V84" s="142"/>
      <c r="W84" s="141"/>
      <c r="X84" s="74"/>
      <c r="Y84" s="75"/>
      <c r="Z84" s="75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</row>
    <row r="85" spans="1:45" ht="15" customHeight="1">
      <c r="A85" s="20"/>
      <c r="B85" s="71"/>
      <c r="C85" s="20"/>
      <c r="D85" s="76"/>
      <c r="E85" s="76"/>
      <c r="F85" s="20" t="s">
        <v>134</v>
      </c>
      <c r="G85" s="20"/>
      <c r="H85" s="66" t="s">
        <v>117</v>
      </c>
      <c r="I85" s="66"/>
      <c r="J85" s="20"/>
      <c r="K85" s="20"/>
      <c r="L85" s="20"/>
      <c r="M85" s="20"/>
      <c r="N85" s="123">
        <v>172.59</v>
      </c>
      <c r="O85" s="20"/>
      <c r="P85" s="20"/>
      <c r="Q85" s="20"/>
      <c r="R85" s="20"/>
      <c r="S85" s="20"/>
      <c r="T85" s="20"/>
      <c r="U85" s="20"/>
      <c r="V85" s="142"/>
      <c r="W85" s="141"/>
      <c r="X85" s="74"/>
      <c r="Y85" s="75"/>
      <c r="Z85" s="75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</row>
    <row r="86" spans="1:45" ht="15" customHeight="1">
      <c r="A86" s="20"/>
      <c r="B86" s="71"/>
      <c r="C86" s="20"/>
      <c r="D86" s="76"/>
      <c r="E86" s="76"/>
      <c r="F86" s="20" t="s">
        <v>135</v>
      </c>
      <c r="G86" s="20"/>
      <c r="H86" s="66" t="s">
        <v>117</v>
      </c>
      <c r="I86" s="66"/>
      <c r="J86" s="20"/>
      <c r="K86" s="20"/>
      <c r="L86" s="20"/>
      <c r="M86" s="20"/>
      <c r="N86" s="174">
        <v>7.78</v>
      </c>
      <c r="O86" s="20"/>
      <c r="P86" s="20"/>
      <c r="Q86" s="20"/>
      <c r="R86" s="20"/>
      <c r="S86" s="20"/>
      <c r="T86" s="20"/>
      <c r="U86" s="20"/>
      <c r="V86" s="142"/>
      <c r="W86" s="141"/>
      <c r="X86" s="74"/>
      <c r="Y86" s="75"/>
      <c r="Z86" s="75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</row>
    <row r="87" spans="1:45" ht="15" customHeight="1">
      <c r="A87" s="20"/>
      <c r="B87" s="71"/>
      <c r="C87" s="20"/>
      <c r="D87" s="76"/>
      <c r="E87" s="76"/>
      <c r="F87" s="20"/>
      <c r="G87" s="20"/>
      <c r="H87" s="66"/>
      <c r="I87" s="66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142"/>
      <c r="W87" s="141"/>
      <c r="X87" s="74"/>
      <c r="Y87" s="75"/>
      <c r="Z87" s="75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</row>
    <row r="88" spans="1:45" ht="15" customHeight="1">
      <c r="A88" s="20"/>
      <c r="B88" s="71"/>
      <c r="C88" s="20"/>
      <c r="D88" s="76"/>
      <c r="E88" s="76" t="s">
        <v>136</v>
      </c>
      <c r="F88" s="20"/>
      <c r="G88" s="20"/>
      <c r="H88" s="66" t="s">
        <v>69</v>
      </c>
      <c r="I88" s="66"/>
      <c r="J88" s="173">
        <v>1E-3</v>
      </c>
      <c r="K88" s="83">
        <v>5.0000000000000001E-3</v>
      </c>
      <c r="L88" s="83">
        <v>8.9999999999999993E-3</v>
      </c>
      <c r="M88" s="175">
        <v>1.4E-2</v>
      </c>
      <c r="N88" s="83">
        <f t="shared" ref="N88:S88" si="51">M88+N89</f>
        <v>1.8500000000000003E-2</v>
      </c>
      <c r="O88" s="83">
        <f t="shared" si="51"/>
        <v>2.4200000000000003E-2</v>
      </c>
      <c r="P88" s="83">
        <f t="shared" si="51"/>
        <v>3.1100000000000003E-2</v>
      </c>
      <c r="Q88" s="83">
        <f t="shared" si="51"/>
        <v>3.9199999999999999E-2</v>
      </c>
      <c r="R88" s="83">
        <f t="shared" si="51"/>
        <v>4.8500000000000001E-2</v>
      </c>
      <c r="S88" s="83">
        <f t="shared" si="51"/>
        <v>5.8999999999999997E-2</v>
      </c>
      <c r="T88" s="20"/>
      <c r="U88" s="20"/>
      <c r="V88" s="142"/>
      <c r="W88" s="141"/>
      <c r="X88" s="74"/>
      <c r="Y88" s="75"/>
      <c r="Z88" s="75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</row>
    <row r="89" spans="1:45" ht="15.75" customHeight="1">
      <c r="A89" s="20"/>
      <c r="B89" s="71"/>
      <c r="C89" s="20"/>
      <c r="D89" s="20"/>
      <c r="E89" s="20"/>
      <c r="F89" s="20" t="s">
        <v>137</v>
      </c>
      <c r="G89" s="20"/>
      <c r="H89" s="66"/>
      <c r="I89" s="66"/>
      <c r="J89" s="20"/>
      <c r="K89" s="83">
        <f t="shared" ref="K89:M89" si="52">K88-J88</f>
        <v>4.0000000000000001E-3</v>
      </c>
      <c r="L89" s="83">
        <f t="shared" si="52"/>
        <v>3.9999999999999992E-3</v>
      </c>
      <c r="M89" s="83">
        <f t="shared" si="52"/>
        <v>5.000000000000001E-3</v>
      </c>
      <c r="N89" s="175">
        <f>0.45%</f>
        <v>4.5000000000000005E-3</v>
      </c>
      <c r="O89" s="83">
        <f t="shared" ref="O89:S89" si="53">N89+$T$89</f>
        <v>5.7000000000000002E-3</v>
      </c>
      <c r="P89" s="83">
        <f t="shared" si="53"/>
        <v>6.8999999999999999E-3</v>
      </c>
      <c r="Q89" s="83">
        <f t="shared" si="53"/>
        <v>8.0999999999999996E-3</v>
      </c>
      <c r="R89" s="83">
        <f t="shared" si="53"/>
        <v>9.2999999999999992E-3</v>
      </c>
      <c r="S89" s="83">
        <f t="shared" si="53"/>
        <v>1.0499999999999999E-2</v>
      </c>
      <c r="T89" s="176">
        <v>1.1999999999999999E-3</v>
      </c>
      <c r="U89" s="20"/>
      <c r="V89" s="142"/>
      <c r="W89" s="141"/>
      <c r="X89" s="74"/>
      <c r="Y89" s="75"/>
      <c r="Z89" s="75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</row>
    <row r="90" spans="1:45" ht="15.75" customHeight="1">
      <c r="A90" s="20"/>
      <c r="B90" s="71"/>
      <c r="C90" s="20"/>
      <c r="D90" s="20"/>
      <c r="E90" s="20"/>
      <c r="F90" s="20"/>
      <c r="G90" s="20"/>
      <c r="H90" s="66"/>
      <c r="I90" s="66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142"/>
      <c r="W90" s="141"/>
      <c r="X90" s="74"/>
      <c r="Y90" s="75"/>
      <c r="Z90" s="75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</row>
    <row r="91" spans="1:45" ht="15" customHeight="1">
      <c r="A91" s="20"/>
      <c r="B91" s="71"/>
      <c r="C91" s="76" t="s">
        <v>138</v>
      </c>
      <c r="D91" s="76" t="s">
        <v>139</v>
      </c>
      <c r="E91" s="20"/>
      <c r="F91" s="20"/>
      <c r="G91" s="20"/>
      <c r="H91" s="66" t="s">
        <v>140</v>
      </c>
      <c r="J91" s="177">
        <v>300</v>
      </c>
      <c r="K91" s="116">
        <f t="shared" ref="K91:L91" si="54">J91+(M91-J91)/3</f>
        <v>293.33333333333331</v>
      </c>
      <c r="L91" s="116">
        <f t="shared" si="54"/>
        <v>301.11111111111109</v>
      </c>
      <c r="M91" s="177">
        <v>280</v>
      </c>
      <c r="N91" s="116">
        <f t="shared" ref="N91:R91" si="55">M91+($S$91-$M$91)/6</f>
        <v>316.66666666666669</v>
      </c>
      <c r="O91" s="116">
        <f t="shared" si="55"/>
        <v>353.33333333333337</v>
      </c>
      <c r="P91" s="116">
        <f t="shared" si="55"/>
        <v>390.00000000000006</v>
      </c>
      <c r="Q91" s="116">
        <f t="shared" si="55"/>
        <v>426.66666666666674</v>
      </c>
      <c r="R91" s="116">
        <f t="shared" si="55"/>
        <v>463.33333333333343</v>
      </c>
      <c r="S91" s="177">
        <v>500</v>
      </c>
      <c r="T91" s="20"/>
      <c r="U91" s="20"/>
      <c r="V91" s="142"/>
      <c r="W91" s="141"/>
      <c r="X91" s="74"/>
      <c r="Y91" s="75"/>
      <c r="Z91" s="75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45" ht="15.75" customHeight="1">
      <c r="A92" s="20"/>
      <c r="B92" s="71"/>
      <c r="C92" s="20"/>
      <c r="D92" s="20"/>
      <c r="E92" s="20"/>
      <c r="F92" s="20"/>
      <c r="G92" s="20"/>
      <c r="H92" s="66"/>
      <c r="I92" s="66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142"/>
      <c r="W92" s="141"/>
      <c r="X92" s="74"/>
      <c r="Y92" s="75"/>
      <c r="Z92" s="75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</row>
    <row r="93" spans="1:45" ht="15.75" customHeight="1">
      <c r="A93" s="20"/>
      <c r="B93" s="71"/>
      <c r="C93" s="20"/>
      <c r="D93" s="20"/>
      <c r="E93" s="20"/>
      <c r="F93" s="20"/>
      <c r="G93" s="20"/>
      <c r="H93" s="66"/>
      <c r="I93" s="66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142"/>
      <c r="W93" s="141"/>
      <c r="X93" s="74"/>
      <c r="Y93" s="75"/>
      <c r="Z93" s="75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 spans="1:45" ht="15" customHeight="1">
      <c r="A94" s="20"/>
      <c r="B94" s="71"/>
      <c r="C94" s="20"/>
      <c r="D94" s="178" t="s">
        <v>141</v>
      </c>
      <c r="E94" s="133"/>
      <c r="F94" s="133"/>
      <c r="G94" s="133"/>
      <c r="H94" s="90"/>
      <c r="I94" s="90"/>
      <c r="J94" s="133"/>
      <c r="K94" s="133"/>
      <c r="L94" s="133"/>
      <c r="M94" s="133"/>
      <c r="N94" s="133"/>
      <c r="O94" s="133"/>
      <c r="P94" s="133"/>
      <c r="Q94" s="133"/>
      <c r="R94" s="133"/>
      <c r="S94" s="139"/>
      <c r="T94" s="20"/>
      <c r="U94" s="20"/>
      <c r="V94" s="142"/>
      <c r="W94" s="141"/>
      <c r="X94" s="74"/>
      <c r="Y94" s="75"/>
      <c r="Z94" s="75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</row>
    <row r="95" spans="1:45" ht="15" customHeight="1">
      <c r="A95" s="20"/>
      <c r="B95" s="71"/>
      <c r="C95" s="20"/>
      <c r="D95" s="142"/>
      <c r="E95" s="20" t="s">
        <v>142</v>
      </c>
      <c r="F95" s="20"/>
      <c r="G95" s="20"/>
      <c r="H95" s="66"/>
      <c r="I95" s="66"/>
      <c r="J95" s="20"/>
      <c r="K95" s="20"/>
      <c r="L95" s="20"/>
      <c r="M95" s="20"/>
      <c r="N95" s="20"/>
      <c r="O95" s="20"/>
      <c r="P95" s="20"/>
      <c r="Q95" s="20"/>
      <c r="R95" s="20"/>
      <c r="S95" s="141"/>
      <c r="T95" s="20"/>
      <c r="U95" s="20"/>
      <c r="V95" s="142"/>
      <c r="W95" s="141"/>
      <c r="X95" s="74"/>
      <c r="Y95" s="75"/>
      <c r="Z95" s="75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</row>
    <row r="96" spans="1:45" ht="15" customHeight="1">
      <c r="A96" s="20"/>
      <c r="B96" s="71"/>
      <c r="C96" s="20"/>
      <c r="D96" s="142"/>
      <c r="E96" s="20"/>
      <c r="F96" s="20" t="s">
        <v>143</v>
      </c>
      <c r="G96" s="20"/>
      <c r="H96" s="66" t="s">
        <v>144</v>
      </c>
      <c r="I96" s="66"/>
      <c r="J96" s="20"/>
      <c r="K96" s="20"/>
      <c r="L96" s="20"/>
      <c r="M96" s="174">
        <v>100</v>
      </c>
      <c r="N96" s="20" t="s">
        <v>145</v>
      </c>
      <c r="O96" s="20"/>
      <c r="P96" s="20"/>
      <c r="Q96" s="20"/>
      <c r="R96" s="20"/>
      <c r="S96" s="141"/>
      <c r="T96" s="20"/>
      <c r="U96" s="20"/>
      <c r="V96" s="142"/>
      <c r="W96" s="141"/>
      <c r="X96" s="74"/>
      <c r="Y96" s="75"/>
      <c r="Z96" s="75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</row>
    <row r="97" spans="1:45" ht="15" customHeight="1">
      <c r="A97" s="20"/>
      <c r="B97" s="71"/>
      <c r="C97" s="20"/>
      <c r="D97" s="142"/>
      <c r="E97" s="20"/>
      <c r="F97" s="20" t="s">
        <v>146</v>
      </c>
      <c r="G97" s="20"/>
      <c r="H97" s="66" t="s">
        <v>144</v>
      </c>
      <c r="I97" s="66"/>
      <c r="J97" s="20"/>
      <c r="K97" s="20"/>
      <c r="L97" s="20"/>
      <c r="M97" s="174">
        <v>150</v>
      </c>
      <c r="N97" s="20" t="s">
        <v>147</v>
      </c>
      <c r="O97" s="20"/>
      <c r="P97" s="20"/>
      <c r="Q97" s="20"/>
      <c r="R97" s="20"/>
      <c r="S97" s="141"/>
      <c r="T97" s="20"/>
      <c r="U97" s="20"/>
      <c r="V97" s="142"/>
      <c r="W97" s="141"/>
      <c r="X97" s="74"/>
      <c r="Y97" s="75"/>
      <c r="Z97" s="75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</row>
    <row r="98" spans="1:45" ht="15" customHeight="1">
      <c r="A98" s="20"/>
      <c r="B98" s="71"/>
      <c r="C98" s="20"/>
      <c r="D98" s="142"/>
      <c r="E98" s="20" t="s">
        <v>122</v>
      </c>
      <c r="F98" s="20"/>
      <c r="G98" s="20"/>
      <c r="H98" s="66"/>
      <c r="I98" s="66"/>
      <c r="J98" s="20"/>
      <c r="K98" s="20"/>
      <c r="L98" s="20"/>
      <c r="M98" s="174"/>
      <c r="N98" s="20"/>
      <c r="O98" s="20"/>
      <c r="P98" s="20"/>
      <c r="Q98" s="20"/>
      <c r="R98" s="20"/>
      <c r="S98" s="141"/>
      <c r="T98" s="20"/>
      <c r="U98" s="20"/>
      <c r="V98" s="142"/>
      <c r="W98" s="141"/>
      <c r="X98" s="74"/>
      <c r="Y98" s="75"/>
      <c r="Z98" s="75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</row>
    <row r="99" spans="1:45" ht="15" customHeight="1">
      <c r="A99" s="20"/>
      <c r="B99" s="71"/>
      <c r="C99" s="20"/>
      <c r="D99" s="145"/>
      <c r="E99" s="147"/>
      <c r="F99" s="147" t="s">
        <v>148</v>
      </c>
      <c r="G99" s="147"/>
      <c r="H99" s="149" t="s">
        <v>144</v>
      </c>
      <c r="I99" s="149"/>
      <c r="J99" s="147"/>
      <c r="K99" s="147"/>
      <c r="L99" s="147"/>
      <c r="M99" s="179">
        <v>1000</v>
      </c>
      <c r="N99" s="147" t="s">
        <v>149</v>
      </c>
      <c r="O99" s="147"/>
      <c r="P99" s="147"/>
      <c r="Q99" s="147"/>
      <c r="R99" s="147"/>
      <c r="S99" s="155"/>
      <c r="T99" s="20"/>
      <c r="U99" s="20"/>
      <c r="V99" s="142"/>
      <c r="W99" s="141"/>
      <c r="X99" s="74"/>
      <c r="Y99" s="75"/>
      <c r="Z99" s="75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</row>
    <row r="100" spans="1:45" ht="15.75" customHeight="1">
      <c r="A100" s="20"/>
      <c r="B100" s="71"/>
      <c r="C100" s="20"/>
      <c r="D100" s="20"/>
      <c r="E100" s="20"/>
      <c r="F100" s="20"/>
      <c r="G100" s="20"/>
      <c r="H100" s="66"/>
      <c r="I100" s="66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142"/>
      <c r="W100" s="141"/>
      <c r="X100" s="74"/>
      <c r="Y100" s="75"/>
      <c r="Z100" s="75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</row>
    <row r="101" spans="1:45" ht="15" customHeight="1">
      <c r="A101" s="156"/>
      <c r="B101" s="157">
        <v>2</v>
      </c>
      <c r="C101" s="158" t="s">
        <v>150</v>
      </c>
      <c r="D101" s="156"/>
      <c r="E101" s="156"/>
      <c r="F101" s="156"/>
      <c r="G101" s="156"/>
      <c r="H101" s="159"/>
      <c r="I101" s="159"/>
      <c r="J101" s="156"/>
      <c r="K101" s="156"/>
      <c r="L101" s="156"/>
      <c r="M101" s="156"/>
      <c r="N101" s="156"/>
      <c r="O101" s="156"/>
      <c r="P101" s="156"/>
      <c r="Q101" s="156"/>
      <c r="R101" s="156"/>
      <c r="S101" s="156"/>
      <c r="T101" s="156"/>
      <c r="U101" s="156"/>
      <c r="V101" s="160"/>
      <c r="W101" s="161"/>
      <c r="X101" s="162"/>
      <c r="Y101" s="163"/>
      <c r="Z101" s="163"/>
      <c r="AA101" s="156"/>
      <c r="AB101" s="156"/>
      <c r="AC101" s="156"/>
      <c r="AD101" s="156"/>
      <c r="AE101" s="156"/>
      <c r="AF101" s="156"/>
      <c r="AG101" s="156"/>
      <c r="AH101" s="156"/>
      <c r="AI101" s="156"/>
      <c r="AJ101" s="156"/>
      <c r="AK101" s="156"/>
      <c r="AL101" s="156"/>
      <c r="AM101" s="156"/>
      <c r="AN101" s="156"/>
      <c r="AO101" s="156"/>
      <c r="AP101" s="156"/>
      <c r="AQ101" s="156"/>
      <c r="AR101" s="156"/>
      <c r="AS101" s="156"/>
    </row>
    <row r="102" spans="1:45" ht="15" customHeight="1">
      <c r="A102" s="20"/>
      <c r="B102" s="71"/>
      <c r="C102" s="20"/>
      <c r="D102" s="22"/>
      <c r="E102" s="20"/>
      <c r="F102" s="20"/>
      <c r="G102" s="20"/>
      <c r="H102" s="66"/>
      <c r="I102" s="66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142"/>
      <c r="W102" s="141"/>
      <c r="X102" s="74"/>
      <c r="Y102" s="75"/>
      <c r="Z102" s="75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</row>
    <row r="103" spans="1:45" ht="15" customHeight="1">
      <c r="A103" s="20"/>
      <c r="B103" s="71" t="s">
        <v>151</v>
      </c>
      <c r="C103" s="20"/>
      <c r="D103" s="20"/>
      <c r="E103" s="20"/>
      <c r="F103" s="20"/>
      <c r="G103" s="20"/>
      <c r="H103" s="66"/>
      <c r="I103" s="66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142"/>
      <c r="W103" s="141"/>
      <c r="X103" s="74"/>
      <c r="Y103" s="75"/>
      <c r="Z103" s="75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</row>
    <row r="104" spans="1:45" ht="15" customHeight="1">
      <c r="A104" s="20"/>
      <c r="B104" s="71"/>
      <c r="C104" s="76"/>
      <c r="D104" s="22"/>
      <c r="E104" s="20"/>
      <c r="F104" s="20"/>
      <c r="G104" s="20"/>
      <c r="H104" s="66"/>
      <c r="I104" s="66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142"/>
      <c r="W104" s="141"/>
      <c r="X104" s="74"/>
      <c r="Y104" s="75"/>
      <c r="Z104" s="75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</row>
    <row r="105" spans="1:45" ht="15" customHeight="1">
      <c r="A105" s="20"/>
      <c r="B105" s="71">
        <v>2</v>
      </c>
      <c r="C105" s="76" t="s">
        <v>152</v>
      </c>
      <c r="D105" s="22"/>
      <c r="E105" s="20"/>
      <c r="F105" s="20"/>
      <c r="G105" s="20"/>
      <c r="H105" s="66" t="s">
        <v>113</v>
      </c>
      <c r="I105" s="66"/>
      <c r="J105" s="84">
        <f t="shared" ref="J105:S105" si="56">SUM(J106:J109)</f>
        <v>99.372</v>
      </c>
      <c r="K105" s="84">
        <f t="shared" si="56"/>
        <v>207.774</v>
      </c>
      <c r="L105" s="84">
        <f t="shared" si="56"/>
        <v>264.56400000000008</v>
      </c>
      <c r="M105" s="84">
        <f t="shared" si="56"/>
        <v>330.13200000000001</v>
      </c>
      <c r="N105" s="84">
        <f t="shared" si="56"/>
        <v>501.19317438612006</v>
      </c>
      <c r="O105" s="84">
        <f t="shared" si="56"/>
        <v>708.56127402379252</v>
      </c>
      <c r="P105" s="84">
        <f t="shared" si="56"/>
        <v>1100.9592456642688</v>
      </c>
      <c r="Q105" s="84">
        <f t="shared" si="56"/>
        <v>1916.4032941802463</v>
      </c>
      <c r="R105" s="84">
        <f t="shared" si="56"/>
        <v>4639.8879381043225</v>
      </c>
      <c r="S105" s="84">
        <f t="shared" si="56"/>
        <v>8415.9837854166708</v>
      </c>
      <c r="T105" s="20"/>
      <c r="U105" s="20"/>
      <c r="V105" s="68">
        <f t="shared" ref="V105:V107" si="57">IFERROR(POWER(M105/J105,1/3)-1,"N.A.")</f>
        <v>0.49213412951670032</v>
      </c>
      <c r="W105" s="180">
        <f t="shared" ref="W105:W107" si="58">IFERROR(POWER(S105/M105,1/6)-1,"N.A.")</f>
        <v>0.71554801578939498</v>
      </c>
      <c r="X105" s="74"/>
      <c r="Y105" s="75"/>
      <c r="Z105" s="75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</row>
    <row r="106" spans="1:45" ht="15" customHeight="1">
      <c r="A106" s="20"/>
      <c r="B106" s="71"/>
      <c r="C106" s="20"/>
      <c r="D106" s="22"/>
      <c r="E106" s="20" t="s">
        <v>153</v>
      </c>
      <c r="F106" s="20"/>
      <c r="G106" s="20"/>
      <c r="H106" s="66" t="s">
        <v>113</v>
      </c>
      <c r="I106" s="66"/>
      <c r="J106" s="84">
        <f t="shared" ref="J106:S106" si="59">J110</f>
        <v>99.372</v>
      </c>
      <c r="K106" s="84">
        <f t="shared" si="59"/>
        <v>207.774</v>
      </c>
      <c r="L106" s="84">
        <f t="shared" si="59"/>
        <v>264.56400000000008</v>
      </c>
      <c r="M106" s="84">
        <f t="shared" si="59"/>
        <v>330.13200000000001</v>
      </c>
      <c r="N106" s="84">
        <f t="shared" si="59"/>
        <v>496.01122025278676</v>
      </c>
      <c r="O106" s="84">
        <f t="shared" si="59"/>
        <v>611.16466335712585</v>
      </c>
      <c r="P106" s="84">
        <f t="shared" si="59"/>
        <v>721.68138486426881</v>
      </c>
      <c r="Q106" s="84">
        <f t="shared" si="59"/>
        <v>826.57023484024648</v>
      </c>
      <c r="R106" s="84">
        <f t="shared" si="59"/>
        <v>925.05044411020651</v>
      </c>
      <c r="S106" s="84">
        <f t="shared" si="59"/>
        <v>1011.0245044684361</v>
      </c>
      <c r="T106" s="20"/>
      <c r="U106" s="20"/>
      <c r="V106" s="68">
        <f t="shared" si="57"/>
        <v>0.49213412951670032</v>
      </c>
      <c r="W106" s="69">
        <f t="shared" si="58"/>
        <v>0.20507018936608001</v>
      </c>
      <c r="X106" s="74"/>
      <c r="Y106" s="75"/>
      <c r="Z106" s="75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</row>
    <row r="107" spans="1:45" ht="15" customHeight="1">
      <c r="A107" s="20"/>
      <c r="B107" s="71"/>
      <c r="C107" s="20"/>
      <c r="D107" s="22"/>
      <c r="E107" s="20" t="s">
        <v>154</v>
      </c>
      <c r="F107" s="20"/>
      <c r="G107" s="20"/>
      <c r="H107" s="66" t="s">
        <v>113</v>
      </c>
      <c r="I107" s="66"/>
      <c r="J107" s="84">
        <f t="shared" ref="J107:L107" si="60">J140</f>
        <v>0</v>
      </c>
      <c r="K107" s="84">
        <f t="shared" si="60"/>
        <v>0</v>
      </c>
      <c r="L107" s="84">
        <f t="shared" si="60"/>
        <v>0</v>
      </c>
      <c r="M107" s="84"/>
      <c r="N107" s="84">
        <f t="shared" ref="N107:S107" si="61">N140</f>
        <v>2.1819541333333334</v>
      </c>
      <c r="O107" s="84">
        <f t="shared" si="61"/>
        <v>70.417610666666675</v>
      </c>
      <c r="P107" s="84">
        <f t="shared" si="61"/>
        <v>269.34736079999999</v>
      </c>
      <c r="Q107" s="84">
        <f t="shared" si="61"/>
        <v>731.72699683999986</v>
      </c>
      <c r="R107" s="84">
        <f t="shared" si="61"/>
        <v>1839.3634939941162</v>
      </c>
      <c r="S107" s="84">
        <f t="shared" si="61"/>
        <v>3463.4689059482353</v>
      </c>
      <c r="T107" s="20"/>
      <c r="U107" s="20"/>
      <c r="V107" s="68" t="str">
        <f t="shared" si="57"/>
        <v>N.A.</v>
      </c>
      <c r="W107" s="69" t="str">
        <f t="shared" si="58"/>
        <v>N.A.</v>
      </c>
      <c r="X107" s="74"/>
      <c r="Y107" s="75"/>
      <c r="Z107" s="75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</row>
    <row r="108" spans="1:45" ht="15" customHeight="1">
      <c r="A108" s="20"/>
      <c r="B108" s="71"/>
      <c r="C108" s="20"/>
      <c r="D108" s="22"/>
      <c r="E108" s="20" t="s">
        <v>155</v>
      </c>
      <c r="F108" s="20"/>
      <c r="G108" s="20"/>
      <c r="H108" s="66" t="s">
        <v>113</v>
      </c>
      <c r="I108" s="66"/>
      <c r="J108" s="84">
        <f t="shared" ref="J108:S108" si="62">J337</f>
        <v>0</v>
      </c>
      <c r="K108" s="84">
        <f t="shared" si="62"/>
        <v>0</v>
      </c>
      <c r="L108" s="84">
        <f t="shared" si="62"/>
        <v>0</v>
      </c>
      <c r="M108" s="84">
        <f t="shared" si="62"/>
        <v>0</v>
      </c>
      <c r="N108" s="84">
        <f t="shared" si="62"/>
        <v>3</v>
      </c>
      <c r="O108" s="84">
        <f t="shared" si="62"/>
        <v>26.978999999999999</v>
      </c>
      <c r="P108" s="84">
        <f t="shared" si="62"/>
        <v>109.93049999999999</v>
      </c>
      <c r="Q108" s="84">
        <f t="shared" si="62"/>
        <v>358.10606250000001</v>
      </c>
      <c r="R108" s="84">
        <f t="shared" si="62"/>
        <v>1875.4739999999999</v>
      </c>
      <c r="S108" s="84">
        <f t="shared" si="62"/>
        <v>3941.4903749999999</v>
      </c>
      <c r="T108" s="20"/>
      <c r="U108" s="20"/>
      <c r="V108" s="142"/>
      <c r="W108" s="141"/>
      <c r="X108" s="74"/>
      <c r="Y108" s="75"/>
      <c r="Z108" s="75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</row>
    <row r="109" spans="1:45" ht="15" customHeight="1">
      <c r="A109" s="20"/>
      <c r="B109" s="71"/>
      <c r="C109" s="20"/>
      <c r="D109" s="22"/>
      <c r="E109" s="20"/>
      <c r="F109" s="20"/>
      <c r="G109" s="20"/>
      <c r="H109" s="66"/>
      <c r="I109" s="66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20"/>
      <c r="U109" s="20"/>
      <c r="V109" s="142"/>
      <c r="W109" s="141"/>
      <c r="X109" s="74"/>
      <c r="Y109" s="75"/>
      <c r="Z109" s="75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</row>
    <row r="110" spans="1:45" ht="15" customHeight="1">
      <c r="A110" s="20"/>
      <c r="B110" s="71">
        <v>2.1</v>
      </c>
      <c r="C110" s="76" t="s">
        <v>156</v>
      </c>
      <c r="D110" s="22"/>
      <c r="E110" s="20"/>
      <c r="F110" s="20"/>
      <c r="G110" s="20"/>
      <c r="H110" s="66" t="s">
        <v>113</v>
      </c>
      <c r="I110" s="66"/>
      <c r="J110" s="84">
        <f t="shared" ref="J110:S110" si="63">J113*J122</f>
        <v>99.372</v>
      </c>
      <c r="K110" s="84">
        <f t="shared" si="63"/>
        <v>207.774</v>
      </c>
      <c r="L110" s="84">
        <f t="shared" si="63"/>
        <v>264.56400000000008</v>
      </c>
      <c r="M110" s="84">
        <f t="shared" si="63"/>
        <v>330.13200000000001</v>
      </c>
      <c r="N110" s="84">
        <f t="shared" si="63"/>
        <v>496.01122025278676</v>
      </c>
      <c r="O110" s="84">
        <f t="shared" si="63"/>
        <v>611.16466335712585</v>
      </c>
      <c r="P110" s="84">
        <f t="shared" si="63"/>
        <v>721.68138486426881</v>
      </c>
      <c r="Q110" s="84">
        <f t="shared" si="63"/>
        <v>826.57023484024648</v>
      </c>
      <c r="R110" s="84">
        <f t="shared" si="63"/>
        <v>925.05044411020651</v>
      </c>
      <c r="S110" s="84">
        <f t="shared" si="63"/>
        <v>1011.0245044684361</v>
      </c>
      <c r="T110" s="20"/>
      <c r="U110" s="20"/>
      <c r="V110" s="68">
        <f>IFERROR(POWER(M110/J110,1/3)-1,"N.A.")</f>
        <v>0.49213412951670032</v>
      </c>
      <c r="W110" s="69">
        <f>IFERROR(POWER(S110/M110,1/6)-1,"N.A.")</f>
        <v>0.20507018936608001</v>
      </c>
      <c r="X110" s="74"/>
      <c r="Y110" s="75"/>
      <c r="Z110" s="75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</row>
    <row r="111" spans="1:45" ht="15" customHeight="1">
      <c r="A111" s="20"/>
      <c r="B111" s="71"/>
      <c r="C111" s="20"/>
      <c r="D111" s="20" t="s">
        <v>157</v>
      </c>
      <c r="E111" s="20"/>
      <c r="F111" s="20"/>
      <c r="G111" s="20"/>
      <c r="H111" s="66"/>
      <c r="I111" s="66"/>
      <c r="J111" s="20"/>
      <c r="K111" s="77">
        <f t="shared" ref="K111:S111" si="64">K110/J110-1</f>
        <v>1.0908706677937445</v>
      </c>
      <c r="L111" s="77">
        <f t="shared" si="64"/>
        <v>0.27332582517543136</v>
      </c>
      <c r="M111" s="77">
        <f t="shared" si="64"/>
        <v>0.24783417244976613</v>
      </c>
      <c r="N111" s="77">
        <f t="shared" si="64"/>
        <v>0.50246331846893599</v>
      </c>
      <c r="O111" s="77">
        <f t="shared" si="64"/>
        <v>0.23215894802874093</v>
      </c>
      <c r="P111" s="77">
        <f t="shared" si="64"/>
        <v>0.18082969800654847</v>
      </c>
      <c r="Q111" s="77">
        <f t="shared" si="64"/>
        <v>0.14533955312662639</v>
      </c>
      <c r="R111" s="77">
        <f t="shared" si="64"/>
        <v>0.11914318362672893</v>
      </c>
      <c r="S111" s="77">
        <f t="shared" si="64"/>
        <v>9.2939861718489114E-2</v>
      </c>
      <c r="T111" s="20"/>
      <c r="U111" s="20"/>
      <c r="V111" s="142"/>
      <c r="W111" s="141"/>
      <c r="X111" s="74"/>
      <c r="Y111" s="75"/>
      <c r="Z111" s="75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</row>
    <row r="112" spans="1:45" ht="15" customHeight="1">
      <c r="A112" s="20"/>
      <c r="B112" s="71"/>
      <c r="C112" s="76"/>
      <c r="D112" s="76"/>
      <c r="E112" s="20"/>
      <c r="F112" s="20"/>
      <c r="G112" s="20"/>
      <c r="H112" s="66"/>
      <c r="I112" s="66"/>
      <c r="J112" s="181"/>
      <c r="K112" s="84"/>
      <c r="L112" s="84"/>
      <c r="M112" s="84"/>
      <c r="N112" s="84"/>
      <c r="O112" s="84"/>
      <c r="P112" s="84"/>
      <c r="Q112" s="84"/>
      <c r="R112" s="84"/>
      <c r="S112" s="84"/>
      <c r="T112" s="20"/>
      <c r="U112" s="20"/>
      <c r="V112" s="142"/>
      <c r="W112" s="141"/>
      <c r="X112" s="74"/>
      <c r="Y112" s="75"/>
      <c r="Z112" s="75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</row>
    <row r="113" spans="1:45" ht="15" customHeight="1">
      <c r="A113" s="20"/>
      <c r="B113" s="71"/>
      <c r="C113" s="76" t="s">
        <v>158</v>
      </c>
      <c r="D113" s="76" t="s">
        <v>159</v>
      </c>
      <c r="E113" s="20"/>
      <c r="F113" s="20"/>
      <c r="G113" s="20"/>
      <c r="H113" s="66" t="s">
        <v>117</v>
      </c>
      <c r="I113" s="66"/>
      <c r="J113" s="181">
        <f>J116</f>
        <v>0.28392000000000001</v>
      </c>
      <c r="K113" s="84">
        <f t="shared" ref="K113:S113" si="65">K116-J116</f>
        <v>0.61109999999999998</v>
      </c>
      <c r="L113" s="84">
        <f t="shared" si="65"/>
        <v>0.88188000000000022</v>
      </c>
      <c r="M113" s="84">
        <f t="shared" si="65"/>
        <v>1.20048</v>
      </c>
      <c r="N113" s="84">
        <f t="shared" si="65"/>
        <v>1.3683068144904462</v>
      </c>
      <c r="O113" s="84">
        <f t="shared" si="65"/>
        <v>1.3581436963491686</v>
      </c>
      <c r="P113" s="84">
        <f t="shared" si="65"/>
        <v>1.3426630416079419</v>
      </c>
      <c r="Q113" s="84">
        <f t="shared" si="65"/>
        <v>1.3225123757443944</v>
      </c>
      <c r="R113" s="84">
        <f t="shared" si="65"/>
        <v>1.2983164127862548</v>
      </c>
      <c r="S113" s="84">
        <f t="shared" si="65"/>
        <v>1.2637806305855452</v>
      </c>
      <c r="T113" s="20"/>
      <c r="U113" s="20"/>
      <c r="V113" s="68">
        <f>IFERROR(POWER(M113/J113,1/3)-1,"N.A.")</f>
        <v>0.61703584695576663</v>
      </c>
      <c r="W113" s="69">
        <f>IFERROR(POWER(S113/M113,1/6)-1,"N.A.")</f>
        <v>8.6011545337620898E-3</v>
      </c>
      <c r="X113" s="74"/>
      <c r="Y113" s="75"/>
      <c r="Z113" s="75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</row>
    <row r="114" spans="1:45" ht="15" customHeight="1">
      <c r="A114" s="20"/>
      <c r="B114" s="71"/>
      <c r="C114" s="76"/>
      <c r="D114" s="76"/>
      <c r="G114" s="20"/>
      <c r="H114" s="66"/>
      <c r="I114" s="66"/>
      <c r="J114" s="84"/>
      <c r="K114" s="83">
        <f t="shared" ref="K114:S114" si="66">K113/J113-1</f>
        <v>1.1523668639053253</v>
      </c>
      <c r="L114" s="83">
        <f t="shared" si="66"/>
        <v>0.44310260186548889</v>
      </c>
      <c r="M114" s="83">
        <f t="shared" si="66"/>
        <v>0.36127364267247208</v>
      </c>
      <c r="N114" s="83">
        <f t="shared" si="66"/>
        <v>0.13979975883850315</v>
      </c>
      <c r="O114" s="83">
        <f t="shared" si="66"/>
        <v>-7.4275140879586088E-3</v>
      </c>
      <c r="P114" s="83">
        <f t="shared" si="66"/>
        <v>-1.1398392366610666E-2</v>
      </c>
      <c r="Q114" s="83">
        <f t="shared" si="66"/>
        <v>-1.5007984311101286E-2</v>
      </c>
      <c r="R114" s="83">
        <f t="shared" si="66"/>
        <v>-1.8295452959009584E-2</v>
      </c>
      <c r="S114" s="83">
        <f t="shared" si="66"/>
        <v>-2.6600435656970456E-2</v>
      </c>
      <c r="T114" s="20"/>
      <c r="U114" s="20"/>
      <c r="V114" s="142"/>
      <c r="W114" s="141"/>
      <c r="X114" s="74"/>
      <c r="Y114" s="75"/>
      <c r="Z114" s="75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</row>
    <row r="115" spans="1:45" ht="15" customHeight="1">
      <c r="A115" s="20"/>
      <c r="B115" s="71"/>
      <c r="C115" s="20"/>
      <c r="D115" s="20"/>
      <c r="E115" s="20"/>
      <c r="F115" s="20"/>
      <c r="G115" s="20"/>
      <c r="H115" s="66"/>
      <c r="I115" s="66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20"/>
      <c r="U115" s="20"/>
      <c r="V115" s="142"/>
      <c r="W115" s="141"/>
      <c r="X115" s="74"/>
      <c r="Y115" s="75"/>
      <c r="Z115" s="75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</row>
    <row r="116" spans="1:45" ht="15" customHeight="1">
      <c r="A116" s="20"/>
      <c r="B116" s="71"/>
      <c r="C116" s="20"/>
      <c r="D116" s="20" t="s">
        <v>160</v>
      </c>
      <c r="E116" s="20"/>
      <c r="F116" s="20"/>
      <c r="G116" s="20"/>
      <c r="H116" s="66" t="s">
        <v>117</v>
      </c>
      <c r="I116" s="66"/>
      <c r="J116" s="84">
        <f t="shared" ref="J116:K116" si="67">J118*J120</f>
        <v>0.28392000000000001</v>
      </c>
      <c r="K116" s="84">
        <f t="shared" si="67"/>
        <v>0.89501999999999993</v>
      </c>
      <c r="L116" s="182">
        <f>SUMPRODUCT(L131:L133,L136:L138)</f>
        <v>1.7769000000000001</v>
      </c>
      <c r="M116" s="84">
        <f t="shared" ref="M116:R116" si="68">M118*M120</f>
        <v>2.9773800000000001</v>
      </c>
      <c r="N116" s="84">
        <f t="shared" si="68"/>
        <v>4.3456868144904464</v>
      </c>
      <c r="O116" s="84">
        <f t="shared" si="68"/>
        <v>5.703830510839615</v>
      </c>
      <c r="P116" s="84">
        <f t="shared" si="68"/>
        <v>7.0464935524475569</v>
      </c>
      <c r="Q116" s="84">
        <f t="shared" si="68"/>
        <v>8.3690059281919513</v>
      </c>
      <c r="R116" s="84">
        <f t="shared" si="68"/>
        <v>9.6673223409782061</v>
      </c>
      <c r="S116" s="182">
        <f>SUMPRODUCT(S131:S133,S136:S138)</f>
        <v>10.931102971563751</v>
      </c>
      <c r="T116" s="20"/>
      <c r="U116" s="20"/>
      <c r="V116" s="68">
        <f>IFERROR(POWER(M116/J116,1/3)-1,"N.A.")</f>
        <v>1.1888336672669886</v>
      </c>
      <c r="W116" s="69">
        <f>IFERROR(POWER(S116/M116,1/6)-1,"N.A.")</f>
        <v>0.24204773287596182</v>
      </c>
      <c r="X116" s="74"/>
      <c r="Y116" s="75"/>
      <c r="Z116" s="75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</row>
    <row r="117" spans="1:45" ht="15" customHeight="1">
      <c r="A117" s="20"/>
      <c r="B117" s="71"/>
      <c r="C117" s="20"/>
      <c r="D117" s="20"/>
      <c r="E117" s="20"/>
      <c r="F117" s="20"/>
      <c r="G117" s="20"/>
      <c r="H117" s="66"/>
      <c r="I117" s="66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20"/>
      <c r="U117" s="20"/>
      <c r="V117" s="142"/>
      <c r="W117" s="141"/>
      <c r="X117" s="74"/>
      <c r="Y117" s="75"/>
      <c r="Z117" s="75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</row>
    <row r="118" spans="1:45" ht="15" customHeight="1">
      <c r="A118" s="20"/>
      <c r="B118" s="71"/>
      <c r="C118" s="76"/>
      <c r="D118" s="20"/>
      <c r="E118" s="20" t="s">
        <v>161</v>
      </c>
      <c r="F118" s="20"/>
      <c r="G118" s="20"/>
      <c r="H118" s="66" t="s">
        <v>117</v>
      </c>
      <c r="I118" s="66"/>
      <c r="J118" s="165">
        <f>14.196</f>
        <v>14.196</v>
      </c>
      <c r="K118" s="165">
        <f>14.917</f>
        <v>14.917</v>
      </c>
      <c r="L118" s="165">
        <f>15.7</f>
        <v>15.7</v>
      </c>
      <c r="M118" s="165">
        <f>16.541</f>
        <v>16.541</v>
      </c>
      <c r="N118" s="84">
        <f t="shared" ref="N118:S118" si="69">M118*(1+N119)</f>
        <v>17.382747257961785</v>
      </c>
      <c r="O118" s="84">
        <f t="shared" si="69"/>
        <v>18.223100673608993</v>
      </c>
      <c r="P118" s="84">
        <f t="shared" si="69"/>
        <v>19.060031248167586</v>
      </c>
      <c r="Q118" s="84">
        <f t="shared" si="69"/>
        <v>19.891631041741615</v>
      </c>
      <c r="R118" s="84">
        <f t="shared" si="69"/>
        <v>20.716119850293055</v>
      </c>
      <c r="S118" s="84">
        <f t="shared" si="69"/>
        <v>21.531849766581377</v>
      </c>
      <c r="T118" s="20"/>
      <c r="U118" s="20"/>
      <c r="V118" s="68">
        <f>IFERROR(POWER(M118/J118,1/3)-1,"N.A.")</f>
        <v>5.2281472030067722E-2</v>
      </c>
      <c r="W118" s="69">
        <f>IFERROR(POWER(S118/M118,1/6)-1,"N.A.")</f>
        <v>4.4928552953184431E-2</v>
      </c>
      <c r="X118" s="74"/>
      <c r="Y118" s="75"/>
      <c r="Z118" s="75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</row>
    <row r="119" spans="1:45" ht="15" customHeight="1">
      <c r="A119" s="20"/>
      <c r="B119" s="71"/>
      <c r="C119" s="76"/>
      <c r="D119" s="20"/>
      <c r="E119" s="20"/>
      <c r="F119" s="20"/>
      <c r="G119" s="20"/>
      <c r="H119" s="66"/>
      <c r="I119" s="66"/>
      <c r="J119" s="20"/>
      <c r="K119" s="83">
        <f t="shared" ref="K119:M119" si="70">K118/J118-1</f>
        <v>5.0788954635108574E-2</v>
      </c>
      <c r="L119" s="83">
        <f t="shared" si="70"/>
        <v>5.2490447140846053E-2</v>
      </c>
      <c r="M119" s="83">
        <f t="shared" si="70"/>
        <v>5.3566878980891852E-2</v>
      </c>
      <c r="N119" s="83">
        <f t="shared" ref="N119:S119" si="71">M119*$T$119</f>
        <v>5.088853503184726E-2</v>
      </c>
      <c r="O119" s="83">
        <f t="shared" si="71"/>
        <v>4.8344108280254892E-2</v>
      </c>
      <c r="P119" s="83">
        <f t="shared" si="71"/>
        <v>4.5926902866242146E-2</v>
      </c>
      <c r="Q119" s="83">
        <f t="shared" si="71"/>
        <v>4.3630557722930036E-2</v>
      </c>
      <c r="R119" s="83">
        <f t="shared" si="71"/>
        <v>4.144902983678353E-2</v>
      </c>
      <c r="S119" s="83">
        <f t="shared" si="71"/>
        <v>3.9376578344944353E-2</v>
      </c>
      <c r="T119" s="183">
        <v>0.95</v>
      </c>
      <c r="U119" s="20"/>
      <c r="V119" s="142"/>
      <c r="W119" s="141"/>
      <c r="X119" s="74"/>
      <c r="Y119" s="75"/>
      <c r="Z119" s="75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</row>
    <row r="120" spans="1:45" ht="15" customHeight="1">
      <c r="A120" s="20"/>
      <c r="B120" s="71"/>
      <c r="C120" s="20"/>
      <c r="D120" s="20"/>
      <c r="E120" s="20" t="s">
        <v>162</v>
      </c>
      <c r="F120" s="20"/>
      <c r="G120" s="20"/>
      <c r="H120" s="66" t="s">
        <v>69</v>
      </c>
      <c r="I120" s="66"/>
      <c r="J120" s="184">
        <v>0.02</v>
      </c>
      <c r="K120" s="184">
        <v>0.06</v>
      </c>
      <c r="L120" s="77">
        <f>L116/L118</f>
        <v>0.11317834394904459</v>
      </c>
      <c r="M120" s="184">
        <v>0.18</v>
      </c>
      <c r="N120" s="184">
        <v>0.25</v>
      </c>
      <c r="O120" s="184">
        <f t="shared" ref="O120:R120" si="72">N120+(N120-M120)*$T$120</f>
        <v>0.313</v>
      </c>
      <c r="P120" s="184">
        <f t="shared" si="72"/>
        <v>0.36970000000000003</v>
      </c>
      <c r="Q120" s="184">
        <f t="shared" si="72"/>
        <v>0.42073000000000005</v>
      </c>
      <c r="R120" s="184">
        <f t="shared" si="72"/>
        <v>0.46665700000000004</v>
      </c>
      <c r="S120" s="77">
        <f>S116/S118</f>
        <v>0.50767133757961791</v>
      </c>
      <c r="T120" s="185">
        <v>0.9</v>
      </c>
      <c r="U120" s="20"/>
      <c r="V120" s="142"/>
      <c r="W120" s="141"/>
      <c r="X120" s="74"/>
      <c r="Y120" s="75"/>
      <c r="Z120" s="20" t="s">
        <v>163</v>
      </c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</row>
    <row r="121" spans="1:45" ht="15.75" customHeight="1">
      <c r="A121" s="20"/>
      <c r="B121" s="71"/>
      <c r="C121" s="20"/>
      <c r="D121" s="20"/>
      <c r="E121" s="20"/>
      <c r="F121" s="20"/>
      <c r="G121" s="20"/>
      <c r="H121" s="66"/>
      <c r="I121" s="66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142"/>
      <c r="W121" s="141"/>
      <c r="X121" s="74"/>
      <c r="Y121" s="75"/>
      <c r="Z121" s="75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</row>
    <row r="122" spans="1:45" ht="15" customHeight="1">
      <c r="A122" s="20"/>
      <c r="B122" s="71"/>
      <c r="C122" s="76" t="s">
        <v>164</v>
      </c>
      <c r="D122" s="76" t="s">
        <v>165</v>
      </c>
      <c r="E122" s="20"/>
      <c r="F122" s="20"/>
      <c r="G122" s="20"/>
      <c r="H122" s="66" t="s">
        <v>140</v>
      </c>
      <c r="I122" s="66"/>
      <c r="J122" s="186">
        <v>350</v>
      </c>
      <c r="K122" s="187">
        <v>340</v>
      </c>
      <c r="L122" s="187">
        <v>300</v>
      </c>
      <c r="M122" s="186">
        <v>275</v>
      </c>
      <c r="N122" s="84">
        <f t="shared" ref="N122:R122" si="73">M122+($S122-$M122)/6</f>
        <v>362.5</v>
      </c>
      <c r="O122" s="84">
        <f t="shared" si="73"/>
        <v>450</v>
      </c>
      <c r="P122" s="84">
        <f t="shared" si="73"/>
        <v>537.5</v>
      </c>
      <c r="Q122" s="84">
        <f t="shared" si="73"/>
        <v>625</v>
      </c>
      <c r="R122" s="84">
        <f t="shared" si="73"/>
        <v>712.5</v>
      </c>
      <c r="S122" s="186">
        <v>800</v>
      </c>
      <c r="T122" s="20"/>
      <c r="U122" s="20"/>
      <c r="V122" s="68">
        <f>IFERROR(POWER(M122/J122,1/3)-1,"N.A.")</f>
        <v>-7.7241155583660404E-2</v>
      </c>
      <c r="W122" s="69">
        <f>IFERROR(POWER(S122/M122,1/6)-1,"N.A.")</f>
        <v>0.19479358510464739</v>
      </c>
      <c r="X122" s="74"/>
      <c r="Y122" s="75"/>
      <c r="Z122" s="75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</row>
    <row r="123" spans="1:45" ht="15.75" customHeight="1">
      <c r="A123" s="20"/>
      <c r="B123" s="71"/>
      <c r="C123" s="20"/>
      <c r="D123" s="20"/>
      <c r="E123" s="20"/>
      <c r="F123" s="20"/>
      <c r="G123" s="20"/>
      <c r="H123" s="66"/>
      <c r="I123" s="66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142"/>
      <c r="W123" s="141"/>
      <c r="X123" s="74"/>
      <c r="Y123" s="75"/>
      <c r="Z123" s="75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</row>
    <row r="124" spans="1:45" ht="15.75" customHeight="1">
      <c r="A124" s="20"/>
      <c r="B124" s="71"/>
      <c r="C124" s="20"/>
      <c r="D124" s="20" t="s">
        <v>96</v>
      </c>
      <c r="E124" s="20"/>
      <c r="F124" s="20"/>
      <c r="G124" s="20"/>
      <c r="H124" s="66"/>
      <c r="I124" s="66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142"/>
      <c r="W124" s="141"/>
      <c r="X124" s="74"/>
      <c r="Y124" s="75"/>
      <c r="Z124" s="75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</row>
    <row r="125" spans="1:45" ht="15.75" customHeight="1">
      <c r="A125" s="20"/>
      <c r="B125" s="71"/>
      <c r="C125" s="20"/>
      <c r="D125" s="20"/>
      <c r="E125" s="20" t="s">
        <v>166</v>
      </c>
      <c r="F125" s="20"/>
      <c r="G125" s="20"/>
      <c r="H125" s="66"/>
      <c r="I125" s="66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142"/>
      <c r="W125" s="141"/>
      <c r="X125" s="74"/>
      <c r="Y125" s="75"/>
      <c r="Z125" s="75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</row>
    <row r="126" spans="1:45" ht="15.75" customHeight="1">
      <c r="A126" s="20"/>
      <c r="B126" s="71"/>
      <c r="C126" s="20"/>
      <c r="D126" s="20"/>
      <c r="E126" s="20" t="s">
        <v>167</v>
      </c>
      <c r="F126" s="20"/>
      <c r="G126" s="20"/>
      <c r="H126" s="66"/>
      <c r="I126" s="66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142"/>
      <c r="W126" s="141"/>
      <c r="X126" s="74"/>
      <c r="Y126" s="75"/>
      <c r="Z126" s="75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</row>
    <row r="127" spans="1:45" ht="15.75" customHeight="1">
      <c r="A127" s="20"/>
      <c r="B127" s="71"/>
      <c r="C127" s="20"/>
      <c r="D127" s="20"/>
      <c r="E127" s="20" t="s">
        <v>168</v>
      </c>
      <c r="F127" s="20"/>
      <c r="G127" s="20"/>
      <c r="H127" s="66"/>
      <c r="I127" s="66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142"/>
      <c r="W127" s="141"/>
      <c r="X127" s="74"/>
      <c r="Y127" s="75"/>
      <c r="Z127" s="75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</row>
    <row r="128" spans="1:45" ht="15" customHeight="1">
      <c r="A128" s="20"/>
      <c r="B128" s="71"/>
      <c r="C128" s="76"/>
      <c r="D128" s="20"/>
      <c r="E128" s="20" t="s">
        <v>169</v>
      </c>
      <c r="F128" s="20"/>
      <c r="G128" s="20"/>
      <c r="H128" s="66"/>
      <c r="I128" s="66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20"/>
      <c r="U128" s="20"/>
      <c r="V128" s="142"/>
      <c r="W128" s="141"/>
      <c r="X128" s="74"/>
      <c r="Y128" s="75"/>
      <c r="Z128" s="75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</row>
    <row r="129" spans="1:45" ht="15" customHeight="1">
      <c r="A129" s="20"/>
      <c r="B129" s="71"/>
      <c r="C129" s="76"/>
      <c r="D129" s="178" t="s">
        <v>170</v>
      </c>
      <c r="E129" s="133"/>
      <c r="F129" s="133"/>
      <c r="G129" s="133"/>
      <c r="H129" s="90"/>
      <c r="I129" s="90"/>
      <c r="J129" s="188"/>
      <c r="K129" s="188"/>
      <c r="L129" s="188"/>
      <c r="M129" s="188"/>
      <c r="N129" s="188"/>
      <c r="O129" s="188"/>
      <c r="P129" s="188"/>
      <c r="Q129" s="188"/>
      <c r="R129" s="188"/>
      <c r="S129" s="189"/>
      <c r="T129" s="20"/>
      <c r="U129" s="20"/>
      <c r="V129" s="142"/>
      <c r="W129" s="141"/>
      <c r="X129" s="74"/>
      <c r="Y129" s="75"/>
      <c r="Z129" s="75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</row>
    <row r="130" spans="1:45" ht="15" customHeight="1">
      <c r="A130" s="20"/>
      <c r="B130" s="71"/>
      <c r="C130" s="76"/>
      <c r="D130" s="142"/>
      <c r="E130" s="20"/>
      <c r="F130" s="20"/>
      <c r="G130" s="20" t="s">
        <v>171</v>
      </c>
      <c r="H130" s="66"/>
      <c r="I130" s="66"/>
      <c r="J130" s="84"/>
      <c r="K130" s="84"/>
      <c r="L130" s="84">
        <f>L118</f>
        <v>15.7</v>
      </c>
      <c r="M130" s="84"/>
      <c r="N130" s="84"/>
      <c r="O130" s="84"/>
      <c r="P130" s="84"/>
      <c r="Q130" s="84"/>
      <c r="R130" s="84"/>
      <c r="S130" s="190">
        <f>S118</f>
        <v>21.531849766581377</v>
      </c>
      <c r="T130" s="20"/>
      <c r="U130" s="20"/>
      <c r="V130" s="142"/>
      <c r="W130" s="141"/>
      <c r="X130" s="74"/>
      <c r="Y130" s="75"/>
      <c r="Z130" s="75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</row>
    <row r="131" spans="1:45" ht="15" customHeight="1">
      <c r="A131" s="20"/>
      <c r="B131" s="71"/>
      <c r="C131" s="76"/>
      <c r="D131" s="142"/>
      <c r="E131" s="20"/>
      <c r="F131" s="20"/>
      <c r="G131" s="20" t="s">
        <v>172</v>
      </c>
      <c r="H131" s="66" t="s">
        <v>117</v>
      </c>
      <c r="I131" s="66"/>
      <c r="J131" s="84"/>
      <c r="L131" s="165">
        <v>0.318</v>
      </c>
      <c r="M131" s="176">
        <f t="shared" ref="M131:M133" si="74">L131/$L$130</f>
        <v>2.0254777070063696E-2</v>
      </c>
      <c r="N131" s="84"/>
      <c r="O131" s="84"/>
      <c r="P131" s="84"/>
      <c r="Q131" s="84"/>
      <c r="R131" s="84"/>
      <c r="S131" s="190">
        <f t="shared" ref="S131:S133" si="75">$S$130*M131</f>
        <v>0.43612281692820881</v>
      </c>
      <c r="T131" s="20"/>
      <c r="U131" s="20"/>
      <c r="V131" s="142"/>
      <c r="W131" s="141"/>
      <c r="X131" s="74"/>
      <c r="Y131" s="75"/>
      <c r="Z131" s="75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</row>
    <row r="132" spans="1:45" ht="15" customHeight="1">
      <c r="A132" s="20"/>
      <c r="B132" s="71"/>
      <c r="C132" s="76"/>
      <c r="D132" s="142"/>
      <c r="E132" s="20"/>
      <c r="F132" s="20"/>
      <c r="G132" s="20" t="s">
        <v>173</v>
      </c>
      <c r="H132" s="66" t="s">
        <v>117</v>
      </c>
      <c r="I132" s="66"/>
      <c r="J132" s="84"/>
      <c r="K132" s="84"/>
      <c r="L132" s="165">
        <v>4.8630000000000004</v>
      </c>
      <c r="M132" s="176">
        <f t="shared" si="74"/>
        <v>0.30974522292993634</v>
      </c>
      <c r="N132" s="84"/>
      <c r="O132" s="84"/>
      <c r="P132" s="84"/>
      <c r="Q132" s="84"/>
      <c r="R132" s="84"/>
      <c r="S132" s="190">
        <f t="shared" si="75"/>
        <v>6.6693876060436468</v>
      </c>
      <c r="T132" s="20"/>
      <c r="U132" s="20"/>
      <c r="V132" s="142"/>
      <c r="W132" s="141"/>
      <c r="X132" s="74"/>
      <c r="Y132" s="75"/>
      <c r="Z132" s="75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</row>
    <row r="133" spans="1:45" ht="13.9">
      <c r="A133" s="20"/>
      <c r="B133" s="71"/>
      <c r="C133" s="76"/>
      <c r="D133" s="142"/>
      <c r="E133" s="20"/>
      <c r="F133" s="20"/>
      <c r="G133" s="20" t="s">
        <v>174</v>
      </c>
      <c r="H133" s="66" t="s">
        <v>117</v>
      </c>
      <c r="I133" s="66"/>
      <c r="J133" s="84"/>
      <c r="K133" s="84"/>
      <c r="L133" s="165">
        <f>8717/1000</f>
        <v>8.7170000000000005</v>
      </c>
      <c r="M133" s="176">
        <f t="shared" si="74"/>
        <v>0.55522292993630584</v>
      </c>
      <c r="N133" s="84"/>
      <c r="O133" s="84"/>
      <c r="P133" s="84"/>
      <c r="Q133" s="84"/>
      <c r="R133" s="84"/>
      <c r="S133" s="190">
        <f t="shared" si="75"/>
        <v>11.954976714349675</v>
      </c>
      <c r="T133" s="20"/>
      <c r="U133" s="20"/>
      <c r="V133" s="142"/>
      <c r="W133" s="141"/>
      <c r="X133" s="74"/>
      <c r="Y133" s="75"/>
      <c r="Z133" s="75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</row>
    <row r="134" spans="1:45" ht="15" customHeight="1">
      <c r="A134" s="20"/>
      <c r="B134" s="71"/>
      <c r="C134" s="76"/>
      <c r="D134" s="142"/>
      <c r="E134" s="20"/>
      <c r="F134" s="20"/>
      <c r="G134" s="20"/>
      <c r="H134" s="66"/>
      <c r="I134" s="66"/>
      <c r="J134" s="84"/>
      <c r="K134" s="84"/>
      <c r="L134" s="84"/>
      <c r="M134" s="84"/>
      <c r="N134" s="84"/>
      <c r="O134" s="84"/>
      <c r="P134" s="84"/>
      <c r="Q134" s="84"/>
      <c r="R134" s="84"/>
      <c r="S134" s="190"/>
      <c r="T134" s="20"/>
      <c r="U134" s="20"/>
      <c r="V134" s="142"/>
      <c r="W134" s="141"/>
      <c r="X134" s="74"/>
      <c r="Y134" s="75"/>
      <c r="Z134" s="75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</row>
    <row r="135" spans="1:45" ht="15" customHeight="1">
      <c r="A135" s="20"/>
      <c r="B135" s="71"/>
      <c r="C135" s="76"/>
      <c r="D135" s="142"/>
      <c r="E135" s="20"/>
      <c r="F135" s="20"/>
      <c r="G135" s="20" t="s">
        <v>175</v>
      </c>
      <c r="H135" s="66"/>
      <c r="I135" s="66"/>
      <c r="J135" s="84"/>
      <c r="K135" s="84"/>
      <c r="L135" s="84"/>
      <c r="M135" s="84"/>
      <c r="N135" s="84"/>
      <c r="O135" s="84"/>
      <c r="P135" s="84"/>
      <c r="Q135" s="84"/>
      <c r="R135" s="84"/>
      <c r="S135" s="190"/>
      <c r="T135" s="20"/>
      <c r="U135" s="20"/>
      <c r="V135" s="142"/>
      <c r="W135" s="141"/>
      <c r="X135" s="74"/>
      <c r="Y135" s="75"/>
      <c r="Z135" s="75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</row>
    <row r="136" spans="1:45" ht="15" customHeight="1">
      <c r="A136" s="20"/>
      <c r="B136" s="71"/>
      <c r="C136" s="76"/>
      <c r="D136" s="142"/>
      <c r="E136" s="20"/>
      <c r="F136" s="20"/>
      <c r="G136" s="20" t="s">
        <v>172</v>
      </c>
      <c r="H136" s="66" t="s">
        <v>69</v>
      </c>
      <c r="I136" s="66"/>
      <c r="J136" s="84"/>
      <c r="K136" s="84"/>
      <c r="L136" s="191">
        <v>1</v>
      </c>
      <c r="N136" s="84"/>
      <c r="O136" s="84"/>
      <c r="P136" s="84"/>
      <c r="Q136" s="84"/>
      <c r="R136" s="84"/>
      <c r="S136" s="191">
        <v>1</v>
      </c>
      <c r="T136" s="20"/>
      <c r="U136" s="20"/>
      <c r="V136" s="142"/>
      <c r="W136" s="141"/>
      <c r="X136" s="74"/>
      <c r="Y136" s="75"/>
      <c r="Z136" s="75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</row>
    <row r="137" spans="1:45" ht="15" customHeight="1">
      <c r="A137" s="20"/>
      <c r="B137" s="71"/>
      <c r="C137" s="76"/>
      <c r="D137" s="142"/>
      <c r="E137" s="20"/>
      <c r="F137" s="20"/>
      <c r="G137" s="20" t="s">
        <v>173</v>
      </c>
      <c r="H137" s="66" t="s">
        <v>69</v>
      </c>
      <c r="I137" s="66"/>
      <c r="J137" s="84"/>
      <c r="K137" s="84"/>
      <c r="L137" s="78">
        <v>0.3</v>
      </c>
      <c r="N137" s="84"/>
      <c r="O137" s="84"/>
      <c r="P137" s="84"/>
      <c r="Q137" s="84"/>
      <c r="R137" s="84"/>
      <c r="S137" s="78">
        <v>1</v>
      </c>
      <c r="T137" s="20"/>
      <c r="U137" s="20"/>
      <c r="V137" s="142"/>
      <c r="W137" s="141"/>
      <c r="X137" s="74"/>
      <c r="Y137" s="75"/>
      <c r="Z137" s="75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</row>
    <row r="138" spans="1:45" ht="15" customHeight="1">
      <c r="A138" s="20"/>
      <c r="B138" s="71"/>
      <c r="C138" s="76"/>
      <c r="D138" s="145"/>
      <c r="E138" s="147"/>
      <c r="F138" s="147"/>
      <c r="G138" s="147" t="s">
        <v>174</v>
      </c>
      <c r="H138" s="149" t="s">
        <v>69</v>
      </c>
      <c r="I138" s="149"/>
      <c r="J138" s="192"/>
      <c r="K138" s="192"/>
      <c r="L138" s="193">
        <v>0</v>
      </c>
      <c r="M138" s="192"/>
      <c r="N138" s="192"/>
      <c r="O138" s="192"/>
      <c r="P138" s="192"/>
      <c r="Q138" s="192"/>
      <c r="R138" s="192"/>
      <c r="S138" s="193">
        <v>0.32</v>
      </c>
      <c r="T138" s="20"/>
      <c r="U138" s="20"/>
      <c r="V138" s="142"/>
      <c r="W138" s="141"/>
      <c r="X138" s="74"/>
      <c r="Y138" s="75"/>
      <c r="Z138" s="75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</row>
    <row r="139" spans="1:45" ht="15" customHeight="1">
      <c r="A139" s="20"/>
      <c r="B139" s="71"/>
      <c r="C139" s="76"/>
      <c r="D139" s="20"/>
      <c r="E139" s="20"/>
      <c r="F139" s="20"/>
      <c r="G139" s="20"/>
      <c r="H139" s="66"/>
      <c r="I139" s="66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20"/>
      <c r="U139" s="20"/>
      <c r="V139" s="142"/>
      <c r="W139" s="141"/>
      <c r="X139" s="74"/>
      <c r="Y139" s="75"/>
      <c r="Z139" s="75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</row>
    <row r="140" spans="1:45" ht="15" customHeight="1">
      <c r="A140" s="20"/>
      <c r="B140" s="71">
        <v>2.2000000000000002</v>
      </c>
      <c r="C140" s="76" t="s">
        <v>176</v>
      </c>
      <c r="D140" s="20"/>
      <c r="E140" s="20"/>
      <c r="F140" s="20"/>
      <c r="G140" s="20"/>
      <c r="H140" s="66" t="s">
        <v>113</v>
      </c>
      <c r="I140" s="66"/>
      <c r="J140" s="84"/>
      <c r="K140" s="84"/>
      <c r="L140" s="84"/>
      <c r="M140" s="84">
        <f t="shared" ref="M140:S140" si="76">M142*M154/1000</f>
        <v>0</v>
      </c>
      <c r="N140" s="84">
        <f t="shared" si="76"/>
        <v>2.1819541333333334</v>
      </c>
      <c r="O140" s="84">
        <f t="shared" si="76"/>
        <v>70.417610666666675</v>
      </c>
      <c r="P140" s="84">
        <f t="shared" si="76"/>
        <v>269.34736079999999</v>
      </c>
      <c r="Q140" s="84">
        <f t="shared" si="76"/>
        <v>731.72699683999986</v>
      </c>
      <c r="R140" s="84">
        <f t="shared" si="76"/>
        <v>1839.3634939941162</v>
      </c>
      <c r="S140" s="84">
        <f t="shared" si="76"/>
        <v>3463.4689059482353</v>
      </c>
      <c r="T140" s="20"/>
      <c r="U140" s="20"/>
      <c r="V140" s="68" t="str">
        <f>IFERROR(POWER(M140/J140,1/3)-1,"N.A.")</f>
        <v>N.A.</v>
      </c>
      <c r="W140" s="69" t="str">
        <f>IFERROR(POWER(S140/M140,1/6)-1,"N.A.")</f>
        <v>N.A.</v>
      </c>
      <c r="X140" s="74"/>
      <c r="Y140" s="75"/>
      <c r="Z140" s="75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</row>
    <row r="141" spans="1:45" ht="15" customHeight="1">
      <c r="A141" s="20"/>
      <c r="B141" s="71"/>
      <c r="C141" s="76"/>
      <c r="D141" s="20"/>
      <c r="E141" s="20"/>
      <c r="F141" s="20"/>
      <c r="G141" s="20"/>
      <c r="H141" s="66"/>
      <c r="I141" s="66"/>
      <c r="J141" s="20"/>
      <c r="K141" s="20"/>
      <c r="L141" s="20"/>
      <c r="M141" s="20"/>
      <c r="N141" s="176" t="e">
        <f t="shared" ref="N141:S141" si="77">N140/M140-1</f>
        <v>#DIV/0!</v>
      </c>
      <c r="O141" s="176">
        <f t="shared" si="77"/>
        <v>31.272727272727273</v>
      </c>
      <c r="P141" s="176">
        <f t="shared" si="77"/>
        <v>2.8249999999999993</v>
      </c>
      <c r="Q141" s="176">
        <f t="shared" si="77"/>
        <v>1.7166666666666663</v>
      </c>
      <c r="R141" s="176">
        <f t="shared" si="77"/>
        <v>1.5137291666666677</v>
      </c>
      <c r="S141" s="176">
        <f t="shared" si="77"/>
        <v>0.88297142857142852</v>
      </c>
      <c r="T141" s="20"/>
      <c r="U141" s="20"/>
      <c r="V141" s="142"/>
      <c r="W141" s="141"/>
      <c r="X141" s="74"/>
      <c r="Y141" s="75"/>
      <c r="Z141" s="75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</row>
    <row r="142" spans="1:45" ht="15" customHeight="1">
      <c r="A142" s="20"/>
      <c r="B142" s="71"/>
      <c r="C142" s="76" t="s">
        <v>177</v>
      </c>
      <c r="D142" s="76" t="s">
        <v>178</v>
      </c>
      <c r="E142" s="20"/>
      <c r="F142" s="20"/>
      <c r="G142" s="20"/>
      <c r="H142" s="66" t="s">
        <v>179</v>
      </c>
      <c r="I142" s="66"/>
      <c r="J142" s="86"/>
      <c r="K142" s="86"/>
      <c r="L142" s="86"/>
      <c r="M142" s="86">
        <f t="shared" ref="M142:S142" si="78">M146*M149*M151</f>
        <v>0</v>
      </c>
      <c r="N142" s="86">
        <f t="shared" si="78"/>
        <v>29.753920000000004</v>
      </c>
      <c r="O142" s="86">
        <f t="shared" si="78"/>
        <v>1056.2641600000002</v>
      </c>
      <c r="P142" s="86">
        <f t="shared" si="78"/>
        <v>4489.1226800000004</v>
      </c>
      <c r="Q142" s="86">
        <f t="shared" si="78"/>
        <v>13719.881190749998</v>
      </c>
      <c r="R142" s="86">
        <f t="shared" si="78"/>
        <v>39414.932014159633</v>
      </c>
      <c r="S142" s="86">
        <f t="shared" si="78"/>
        <v>86586.72264870588</v>
      </c>
      <c r="T142" s="20"/>
      <c r="U142" s="20"/>
      <c r="V142" s="68" t="str">
        <f>IFERROR(POWER(M142/J142,1/3)-1,"N.A.")</f>
        <v>N.A.</v>
      </c>
      <c r="W142" s="69" t="str">
        <f>IFERROR(POWER(S142/M142,1/6)-1,"N.A.")</f>
        <v>N.A.</v>
      </c>
      <c r="X142" s="74"/>
      <c r="Y142" s="75"/>
      <c r="Z142" s="194" t="s">
        <v>180</v>
      </c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</row>
    <row r="143" spans="1:45" ht="15" customHeight="1">
      <c r="A143" s="20"/>
      <c r="B143" s="71"/>
      <c r="C143" s="20"/>
      <c r="D143" s="20"/>
      <c r="E143" s="20"/>
      <c r="F143" s="20"/>
      <c r="G143" s="20"/>
      <c r="H143" s="66"/>
      <c r="I143" s="66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142"/>
      <c r="W143" s="141"/>
      <c r="X143" s="74"/>
      <c r="Y143" s="75"/>
      <c r="Z143" s="75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</row>
    <row r="144" spans="1:45" ht="15" customHeight="1">
      <c r="A144" s="20"/>
      <c r="B144" s="71"/>
      <c r="C144" s="20"/>
      <c r="D144" s="195" t="s">
        <v>181</v>
      </c>
      <c r="E144" s="20"/>
      <c r="F144" s="20"/>
      <c r="G144" s="20"/>
      <c r="H144" s="66" t="s">
        <v>117</v>
      </c>
      <c r="I144" s="66"/>
      <c r="J144" s="196"/>
      <c r="K144" s="84"/>
      <c r="L144" s="84"/>
      <c r="M144" s="197">
        <f t="shared" ref="M144:S144" si="79">M146*M149</f>
        <v>0</v>
      </c>
      <c r="N144" s="197">
        <f t="shared" si="79"/>
        <v>0.10626400000000001</v>
      </c>
      <c r="O144" s="197">
        <f t="shared" si="79"/>
        <v>3.7723720000000003</v>
      </c>
      <c r="P144" s="197">
        <f t="shared" si="79"/>
        <v>16.032581</v>
      </c>
      <c r="Q144" s="197">
        <f t="shared" si="79"/>
        <v>48.999575681249993</v>
      </c>
      <c r="R144" s="197">
        <f t="shared" si="79"/>
        <v>140.7676143362844</v>
      </c>
      <c r="S144" s="197">
        <f t="shared" si="79"/>
        <v>309.23829517394955</v>
      </c>
      <c r="T144" s="20"/>
      <c r="U144" s="20"/>
      <c r="V144" s="68" t="str">
        <f>IFERROR(POWER(M144/J144,1/3)-1,"N.A.")</f>
        <v>N.A.</v>
      </c>
      <c r="W144" s="69" t="str">
        <f>IFERROR(POWER(S144/M144,1/6)-1,"N.A.")</f>
        <v>N.A.</v>
      </c>
      <c r="X144" s="74"/>
      <c r="Y144" s="75"/>
      <c r="Z144" s="194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</row>
    <row r="145" spans="1:45" ht="15" customHeight="1">
      <c r="A145" s="20"/>
      <c r="B145" s="71"/>
      <c r="C145" s="20"/>
      <c r="D145" s="195"/>
      <c r="E145" s="20"/>
      <c r="F145" s="20"/>
      <c r="G145" s="20"/>
      <c r="H145" s="66"/>
      <c r="I145" s="66"/>
      <c r="J145" s="196"/>
      <c r="K145" s="84"/>
      <c r="L145" s="84"/>
      <c r="M145" s="186"/>
      <c r="N145" s="84"/>
      <c r="O145" s="84"/>
      <c r="P145" s="84"/>
      <c r="Q145" s="84"/>
      <c r="R145" s="84"/>
      <c r="S145" s="84"/>
      <c r="T145" s="20"/>
      <c r="U145" s="20"/>
      <c r="V145" s="142"/>
      <c r="W145" s="141"/>
      <c r="X145" s="74"/>
      <c r="Y145" s="75"/>
      <c r="Z145" s="194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</row>
    <row r="146" spans="1:45" ht="15" customHeight="1">
      <c r="A146" s="20"/>
      <c r="B146" s="71"/>
      <c r="C146" s="20"/>
      <c r="D146" s="195" t="s">
        <v>182</v>
      </c>
      <c r="E146" s="20"/>
      <c r="F146" s="20"/>
      <c r="G146" s="20"/>
      <c r="H146" s="66" t="s">
        <v>117</v>
      </c>
      <c r="I146" s="66"/>
      <c r="J146" s="196"/>
      <c r="K146" s="84"/>
      <c r="L146" s="84"/>
      <c r="M146" s="186">
        <v>35.9</v>
      </c>
      <c r="N146" s="84">
        <f t="shared" ref="N146:S146" si="80">M146*(1+N147)</f>
        <v>66.415000000000006</v>
      </c>
      <c r="O146" s="84">
        <f t="shared" si="80"/>
        <v>117.88662500000001</v>
      </c>
      <c r="P146" s="84">
        <f t="shared" si="80"/>
        <v>200.4072625</v>
      </c>
      <c r="Q146" s="84">
        <f t="shared" si="80"/>
        <v>326.66383787499996</v>
      </c>
      <c r="R146" s="84">
        <f t="shared" si="80"/>
        <v>511.882233950125</v>
      </c>
      <c r="S146" s="84">
        <f t="shared" si="80"/>
        <v>773.0957379348738</v>
      </c>
      <c r="T146" s="20"/>
      <c r="U146" s="20"/>
      <c r="V146" s="68" t="str">
        <f>IFERROR(POWER(M146/J146,1/3)-1,"N.A.")</f>
        <v>N.A.</v>
      </c>
      <c r="W146" s="69">
        <f>IFERROR(POWER(S146/M146,1/6)-1,"N.A.")</f>
        <v>0.66797602941184087</v>
      </c>
      <c r="X146" s="74"/>
      <c r="Y146" s="167" t="s">
        <v>183</v>
      </c>
      <c r="Z146" s="194" t="s">
        <v>184</v>
      </c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</row>
    <row r="147" spans="1:45" ht="15" customHeight="1">
      <c r="A147" s="20"/>
      <c r="B147" s="71"/>
      <c r="C147" s="76"/>
      <c r="D147" s="20"/>
      <c r="E147" s="20" t="s">
        <v>157</v>
      </c>
      <c r="F147" s="20"/>
      <c r="G147" s="20"/>
      <c r="H147" s="66" t="s">
        <v>69</v>
      </c>
      <c r="I147" s="66"/>
      <c r="J147" s="20"/>
      <c r="K147" s="20"/>
      <c r="L147" s="20"/>
      <c r="M147" s="20"/>
      <c r="N147" s="198">
        <v>0.85</v>
      </c>
      <c r="O147" s="176">
        <f>AVERAGE(N147,P147)</f>
        <v>0.77499999999999991</v>
      </c>
      <c r="P147" s="191">
        <v>0.7</v>
      </c>
      <c r="Q147" s="176">
        <f t="shared" ref="Q147:S147" si="81">P147*$T$147</f>
        <v>0.63</v>
      </c>
      <c r="R147" s="176">
        <f t="shared" si="81"/>
        <v>0.56700000000000006</v>
      </c>
      <c r="S147" s="176">
        <f t="shared" si="81"/>
        <v>0.51030000000000009</v>
      </c>
      <c r="T147" s="199">
        <v>0.9</v>
      </c>
      <c r="U147" s="20"/>
      <c r="V147" s="142"/>
      <c r="W147" s="141"/>
      <c r="X147" s="74"/>
      <c r="Y147" s="75"/>
      <c r="Z147" s="75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</row>
    <row r="148" spans="1:45" ht="15" customHeight="1">
      <c r="A148" s="20"/>
      <c r="B148" s="71"/>
      <c r="D148" s="20"/>
      <c r="E148" s="200" t="s">
        <v>185</v>
      </c>
      <c r="F148" s="20"/>
      <c r="G148" s="20"/>
      <c r="H148" s="66"/>
      <c r="I148" s="66"/>
      <c r="J148" s="199"/>
      <c r="K148" s="83"/>
      <c r="L148" s="83"/>
      <c r="M148" s="201"/>
      <c r="N148" s="83"/>
      <c r="O148" s="83"/>
      <c r="P148" s="83"/>
      <c r="Q148" s="83"/>
      <c r="R148" s="83"/>
      <c r="S148" s="201"/>
      <c r="T148" s="20"/>
      <c r="U148" s="20"/>
      <c r="V148" s="142"/>
      <c r="W148" s="141"/>
      <c r="X148" s="74"/>
      <c r="Y148" s="75"/>
      <c r="Z148" s="75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</row>
    <row r="149" spans="1:45" ht="15" customHeight="1">
      <c r="A149" s="20"/>
      <c r="B149" s="71"/>
      <c r="C149" s="20"/>
      <c r="D149" s="195" t="s">
        <v>175</v>
      </c>
      <c r="E149" s="20"/>
      <c r="F149" s="20"/>
      <c r="G149" s="20"/>
      <c r="H149" s="66" t="s">
        <v>69</v>
      </c>
      <c r="I149" s="66"/>
      <c r="J149" s="199"/>
      <c r="K149" s="83"/>
      <c r="L149" s="83"/>
      <c r="M149" s="198">
        <v>0</v>
      </c>
      <c r="N149" s="198">
        <v>1.6000000000000001E-3</v>
      </c>
      <c r="O149" s="198">
        <v>3.2000000000000001E-2</v>
      </c>
      <c r="P149" s="202">
        <v>0.08</v>
      </c>
      <c r="Q149" s="202">
        <v>0.15</v>
      </c>
      <c r="R149" s="83">
        <f>AVERAGE(Q149,S149)</f>
        <v>0.27500000000000002</v>
      </c>
      <c r="S149" s="198">
        <v>0.4</v>
      </c>
      <c r="T149" s="20"/>
      <c r="U149" s="20"/>
      <c r="V149" s="142"/>
      <c r="W149" s="141"/>
      <c r="X149" s="74"/>
      <c r="Y149" s="75"/>
      <c r="Z149" s="75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</row>
    <row r="150" spans="1:45" ht="15" customHeight="1">
      <c r="A150" s="20"/>
      <c r="B150" s="71"/>
      <c r="C150" s="20"/>
      <c r="D150" s="20"/>
      <c r="E150" s="20"/>
      <c r="F150" s="20"/>
      <c r="G150" s="20"/>
      <c r="H150" s="66"/>
      <c r="I150" s="66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142"/>
      <c r="W150" s="141"/>
      <c r="X150" s="74"/>
      <c r="Y150" s="75"/>
      <c r="Z150" s="75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</row>
    <row r="151" spans="1:45" ht="15" customHeight="1">
      <c r="A151" s="20"/>
      <c r="B151" s="71"/>
      <c r="C151" s="20"/>
      <c r="D151" s="20" t="s">
        <v>186</v>
      </c>
      <c r="E151" s="20"/>
      <c r="F151" s="20"/>
      <c r="G151" s="20"/>
      <c r="H151" s="66" t="s">
        <v>187</v>
      </c>
      <c r="I151" s="66"/>
      <c r="J151" s="20"/>
      <c r="K151" s="20"/>
      <c r="L151" s="20"/>
      <c r="M151" s="199">
        <v>280</v>
      </c>
      <c r="N151" s="199">
        <v>280</v>
      </c>
      <c r="O151" s="199">
        <v>280</v>
      </c>
      <c r="P151" s="199">
        <v>280</v>
      </c>
      <c r="Q151" s="199">
        <v>280</v>
      </c>
      <c r="R151" s="199">
        <v>280</v>
      </c>
      <c r="S151" s="199">
        <v>280</v>
      </c>
      <c r="T151" s="20"/>
      <c r="U151" s="20"/>
      <c r="V151" s="68" t="str">
        <f>IFERROR(POWER(M151/J151,1/3)-1,"N.A.")</f>
        <v>N.A.</v>
      </c>
      <c r="W151" s="69">
        <f>IFERROR(POWER(S151/M151,1/6)-1,"N.A.")</f>
        <v>0</v>
      </c>
      <c r="X151" s="74"/>
      <c r="Y151" s="75"/>
      <c r="Z151" s="75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</row>
    <row r="152" spans="1:45" ht="15" customHeight="1">
      <c r="A152" s="20"/>
      <c r="B152" s="71"/>
      <c r="C152" s="20"/>
      <c r="D152" s="20"/>
      <c r="E152" s="20" t="s">
        <v>188</v>
      </c>
      <c r="F152" s="20"/>
      <c r="G152" s="20"/>
      <c r="H152" s="66"/>
      <c r="I152" s="66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142"/>
      <c r="W152" s="141"/>
      <c r="X152" s="74"/>
      <c r="Y152" s="75"/>
      <c r="Z152" s="75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</row>
    <row r="153" spans="1:45" ht="15" customHeight="1">
      <c r="A153" s="20"/>
      <c r="B153" s="71"/>
      <c r="C153" s="76"/>
      <c r="D153" s="203"/>
      <c r="E153" s="20"/>
      <c r="F153" s="20"/>
      <c r="G153" s="20"/>
      <c r="H153" s="66"/>
      <c r="I153" s="66"/>
      <c r="J153" s="196"/>
      <c r="K153" s="84"/>
      <c r="L153" s="84"/>
      <c r="M153" s="196"/>
      <c r="N153" s="84"/>
      <c r="O153" s="84"/>
      <c r="P153" s="84"/>
      <c r="Q153" s="84"/>
      <c r="R153" s="84"/>
      <c r="S153" s="196"/>
      <c r="T153" s="20"/>
      <c r="U153" s="20"/>
      <c r="V153" s="142"/>
      <c r="W153" s="141"/>
      <c r="X153" s="74"/>
      <c r="Y153" s="75"/>
      <c r="Z153" s="75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</row>
    <row r="154" spans="1:45" ht="15" customHeight="1">
      <c r="A154" s="20"/>
      <c r="B154" s="71"/>
      <c r="C154" s="76" t="s">
        <v>189</v>
      </c>
      <c r="D154" s="203" t="s">
        <v>190</v>
      </c>
      <c r="E154" s="20"/>
      <c r="F154" s="20"/>
      <c r="G154" s="20"/>
      <c r="H154" s="66" t="s">
        <v>191</v>
      </c>
      <c r="I154" s="66"/>
      <c r="J154" s="196"/>
      <c r="K154" s="84"/>
      <c r="L154" s="84"/>
      <c r="M154" s="186">
        <v>80</v>
      </c>
      <c r="N154" s="84">
        <f t="shared" ref="N154:R154" si="82">M154+($S154-$M154)/6</f>
        <v>73.333333333333329</v>
      </c>
      <c r="O154" s="84">
        <f t="shared" si="82"/>
        <v>66.666666666666657</v>
      </c>
      <c r="P154" s="84">
        <f t="shared" si="82"/>
        <v>59.999999999999993</v>
      </c>
      <c r="Q154" s="84">
        <f t="shared" si="82"/>
        <v>53.333333333333329</v>
      </c>
      <c r="R154" s="84">
        <f t="shared" si="82"/>
        <v>46.666666666666664</v>
      </c>
      <c r="S154" s="186">
        <v>40</v>
      </c>
      <c r="T154" s="20"/>
      <c r="U154" s="20"/>
      <c r="V154" s="68" t="str">
        <f>IFERROR(POWER(M154/J154,1/3)-1,"N.A.")</f>
        <v>N.A.</v>
      </c>
      <c r="W154" s="69">
        <f>IFERROR(POWER(S154/M154,1/6)-1,"N.A.")</f>
        <v>-0.10910128185966073</v>
      </c>
      <c r="X154" s="74"/>
      <c r="Y154" s="75"/>
      <c r="Z154" s="75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</row>
    <row r="155" spans="1:45" ht="15" customHeight="1">
      <c r="A155" s="20"/>
      <c r="B155" s="71"/>
      <c r="C155" s="76"/>
      <c r="D155" s="20"/>
      <c r="E155" s="20"/>
      <c r="F155" s="20"/>
      <c r="G155" s="20"/>
      <c r="H155" s="66"/>
      <c r="N155" s="204"/>
      <c r="O155" s="204"/>
      <c r="P155" s="205"/>
      <c r="Q155" s="121"/>
      <c r="R155" s="205"/>
      <c r="S155" s="206"/>
      <c r="T155" s="205"/>
      <c r="U155" s="20"/>
      <c r="V155" s="142"/>
      <c r="W155" s="141"/>
      <c r="X155" s="74"/>
      <c r="Y155" s="75"/>
      <c r="Z155" s="75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</row>
    <row r="156" spans="1:45" ht="15" customHeight="1">
      <c r="A156" s="20"/>
      <c r="B156" s="71"/>
      <c r="C156" s="178" t="s">
        <v>192</v>
      </c>
      <c r="D156" s="133"/>
      <c r="E156" s="133"/>
      <c r="F156" s="133"/>
      <c r="G156" s="133"/>
      <c r="H156" s="90" t="s">
        <v>193</v>
      </c>
      <c r="I156" s="92"/>
      <c r="J156" s="92"/>
      <c r="K156" s="92"/>
      <c r="L156" s="92"/>
      <c r="M156" s="92"/>
      <c r="N156" s="207">
        <v>0.02</v>
      </c>
      <c r="O156" s="207">
        <v>0.6</v>
      </c>
      <c r="P156" s="208">
        <v>2</v>
      </c>
      <c r="Q156" s="209">
        <v>5</v>
      </c>
      <c r="R156" s="210"/>
      <c r="S156" s="211"/>
      <c r="T156" s="205"/>
      <c r="U156" s="20"/>
      <c r="V156" s="142"/>
      <c r="W156" s="141"/>
      <c r="X156" s="74"/>
      <c r="Y156" s="75"/>
      <c r="Z156" s="75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</row>
    <row r="157" spans="1:45" ht="15" customHeight="1">
      <c r="A157" s="20"/>
      <c r="B157" s="71"/>
      <c r="C157" s="212"/>
      <c r="D157" s="20"/>
      <c r="E157" s="20"/>
      <c r="F157" s="20"/>
      <c r="G157" s="20"/>
      <c r="H157" s="66" t="s">
        <v>113</v>
      </c>
      <c r="N157" s="185">
        <f t="shared" ref="N157:Q157" si="83">N156*100</f>
        <v>2</v>
      </c>
      <c r="O157" s="185">
        <f t="shared" si="83"/>
        <v>60</v>
      </c>
      <c r="P157" s="185">
        <f t="shared" si="83"/>
        <v>200</v>
      </c>
      <c r="Q157" s="185">
        <f t="shared" si="83"/>
        <v>500</v>
      </c>
      <c r="S157" s="213"/>
      <c r="T157" s="205"/>
      <c r="U157" s="20"/>
      <c r="V157" s="142"/>
      <c r="W157" s="141"/>
      <c r="X157" s="74"/>
      <c r="Y157" s="75"/>
      <c r="Z157" s="75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</row>
    <row r="158" spans="1:45" ht="15" customHeight="1">
      <c r="A158" s="20"/>
      <c r="B158" s="71"/>
      <c r="C158" s="214" t="s">
        <v>194</v>
      </c>
      <c r="D158" s="147"/>
      <c r="E158" s="147"/>
      <c r="F158" s="147"/>
      <c r="G158" s="147"/>
      <c r="H158" s="149"/>
      <c r="I158" s="215"/>
      <c r="J158" s="215"/>
      <c r="K158" s="215"/>
      <c r="L158" s="215"/>
      <c r="M158" s="215"/>
      <c r="N158" s="216">
        <f t="shared" ref="N158:Q158" si="84">N157/N140</f>
        <v>0.91660955170704472</v>
      </c>
      <c r="O158" s="216">
        <f t="shared" si="84"/>
        <v>0.85205958327697107</v>
      </c>
      <c r="P158" s="216">
        <f t="shared" si="84"/>
        <v>0.74253558455509472</v>
      </c>
      <c r="Q158" s="216">
        <f t="shared" si="84"/>
        <v>0.68331495511205043</v>
      </c>
      <c r="R158" s="215"/>
      <c r="S158" s="217"/>
      <c r="T158" s="205"/>
      <c r="U158" s="20"/>
      <c r="V158" s="142"/>
      <c r="W158" s="141"/>
      <c r="X158" s="74"/>
      <c r="Y158" s="75"/>
      <c r="Z158" s="75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</row>
    <row r="159" spans="1:45" ht="15" customHeight="1">
      <c r="A159" s="20"/>
      <c r="B159" s="71"/>
      <c r="C159" s="76"/>
      <c r="D159" s="20"/>
      <c r="E159" s="20"/>
      <c r="F159" s="20"/>
      <c r="G159" s="20"/>
      <c r="H159" s="66"/>
      <c r="T159" s="205"/>
      <c r="U159" s="20"/>
      <c r="V159" s="142"/>
      <c r="W159" s="141"/>
      <c r="X159" s="74"/>
      <c r="Y159" s="75"/>
      <c r="Z159" s="75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</row>
    <row r="160" spans="1:45" ht="15" customHeight="1">
      <c r="A160" s="20"/>
      <c r="B160" s="71"/>
      <c r="C160" s="76"/>
      <c r="D160" s="20"/>
      <c r="E160" s="20"/>
      <c r="F160" s="20"/>
      <c r="G160" s="20"/>
      <c r="H160" s="66"/>
      <c r="T160" s="205"/>
      <c r="U160" s="20"/>
      <c r="V160" s="142"/>
      <c r="W160" s="141"/>
      <c r="X160" s="74"/>
      <c r="Y160" s="75"/>
      <c r="Z160" s="75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</row>
    <row r="161" spans="1:45" ht="15" customHeight="1">
      <c r="A161" s="20"/>
      <c r="B161" s="71"/>
      <c r="C161" s="76"/>
      <c r="D161" s="20"/>
      <c r="E161" s="20"/>
      <c r="F161" s="20"/>
      <c r="G161" s="20"/>
      <c r="H161" s="66"/>
      <c r="T161" s="205"/>
      <c r="U161" s="20"/>
      <c r="V161" s="142"/>
      <c r="W161" s="141"/>
      <c r="X161" s="74"/>
      <c r="Y161" s="75"/>
      <c r="Z161" s="75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</row>
    <row r="162" spans="1:45" ht="15" customHeight="1">
      <c r="A162" s="156"/>
      <c r="B162" s="157">
        <v>3</v>
      </c>
      <c r="C162" s="218" t="s">
        <v>195</v>
      </c>
      <c r="D162" s="156"/>
      <c r="E162" s="156"/>
      <c r="F162" s="156"/>
      <c r="G162" s="156"/>
      <c r="H162" s="159"/>
      <c r="I162" s="159"/>
      <c r="J162" s="156"/>
      <c r="K162" s="156"/>
      <c r="L162" s="156"/>
      <c r="M162" s="156"/>
      <c r="N162" s="156"/>
      <c r="O162" s="156"/>
      <c r="P162" s="156"/>
      <c r="Q162" s="156"/>
      <c r="R162" s="156"/>
      <c r="S162" s="156"/>
      <c r="T162" s="156"/>
      <c r="U162" s="156"/>
      <c r="V162" s="160"/>
      <c r="W162" s="161"/>
      <c r="X162" s="162"/>
      <c r="Y162" s="163"/>
      <c r="Z162" s="163"/>
      <c r="AA162" s="156"/>
      <c r="AB162" s="156"/>
      <c r="AC162" s="156"/>
      <c r="AD162" s="156"/>
      <c r="AE162" s="156"/>
      <c r="AF162" s="156"/>
      <c r="AG162" s="156"/>
      <c r="AH162" s="156"/>
      <c r="AI162" s="156"/>
      <c r="AJ162" s="156"/>
      <c r="AK162" s="156"/>
      <c r="AL162" s="156"/>
      <c r="AM162" s="156"/>
      <c r="AN162" s="156"/>
      <c r="AO162" s="156"/>
      <c r="AP162" s="156"/>
      <c r="AQ162" s="156"/>
      <c r="AR162" s="156"/>
      <c r="AS162" s="156"/>
    </row>
    <row r="163" spans="1:45" ht="15" customHeight="1">
      <c r="A163" s="20"/>
      <c r="B163" s="71">
        <v>3</v>
      </c>
      <c r="C163" s="219" t="s">
        <v>196</v>
      </c>
      <c r="D163" s="22"/>
      <c r="E163" s="20"/>
      <c r="F163" s="20"/>
      <c r="G163" s="20"/>
      <c r="H163" s="66" t="s">
        <v>113</v>
      </c>
      <c r="I163" s="66"/>
      <c r="J163" s="84">
        <f t="shared" ref="J163:S163" si="85">J165*J174</f>
        <v>139.20000000000002</v>
      </c>
      <c r="K163" s="84">
        <f t="shared" si="85"/>
        <v>341.75013333333322</v>
      </c>
      <c r="L163" s="84">
        <f t="shared" si="85"/>
        <v>385.91862222222227</v>
      </c>
      <c r="M163" s="84">
        <f t="shared" si="85"/>
        <v>431.90410666666639</v>
      </c>
      <c r="N163" s="84">
        <f t="shared" si="85"/>
        <v>496.37512847018388</v>
      </c>
      <c r="O163" s="84">
        <f t="shared" si="85"/>
        <v>632.56044263256933</v>
      </c>
      <c r="P163" s="84">
        <f t="shared" si="85"/>
        <v>785.15468691003753</v>
      </c>
      <c r="Q163" s="84">
        <f t="shared" si="85"/>
        <v>954.40345652036012</v>
      </c>
      <c r="R163" s="84">
        <f t="shared" si="85"/>
        <v>1140.5064915242199</v>
      </c>
      <c r="S163" s="84">
        <f t="shared" si="85"/>
        <v>1343.6217112958798</v>
      </c>
      <c r="T163" s="20"/>
      <c r="U163" s="20"/>
      <c r="V163" s="68">
        <f>IFERROR(POWER(M163/J163,1/3)-1,"N.A.")</f>
        <v>0.4585322377850265</v>
      </c>
      <c r="W163" s="69">
        <f>IFERROR(POWER(S163/M163,1/6)-1,"N.A.")</f>
        <v>0.20822628589007075</v>
      </c>
      <c r="X163" s="74"/>
      <c r="Y163" s="75"/>
      <c r="Z163" s="75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</row>
    <row r="164" spans="1:45" ht="15" customHeight="1">
      <c r="A164" s="20"/>
      <c r="B164" s="71"/>
      <c r="C164" s="20"/>
      <c r="D164" s="22"/>
      <c r="E164" s="20"/>
      <c r="F164" s="20"/>
      <c r="G164" s="20"/>
      <c r="H164" s="66"/>
      <c r="I164" s="66"/>
      <c r="J164" s="20"/>
      <c r="K164" s="176">
        <f t="shared" ref="K164:S164" si="86">K163/J163-1</f>
        <v>1.4551015325670487</v>
      </c>
      <c r="L164" s="176">
        <f t="shared" si="86"/>
        <v>0.12924205312835491</v>
      </c>
      <c r="M164" s="176">
        <f t="shared" si="86"/>
        <v>0.11915850077316148</v>
      </c>
      <c r="N164" s="176">
        <f t="shared" si="86"/>
        <v>0.14927161100895647</v>
      </c>
      <c r="O164" s="176">
        <f t="shared" si="86"/>
        <v>0.27435966540488299</v>
      </c>
      <c r="P164" s="176">
        <f t="shared" si="86"/>
        <v>0.24123266962822787</v>
      </c>
      <c r="Q164" s="176">
        <f t="shared" si="86"/>
        <v>0.21556105113044421</v>
      </c>
      <c r="R164" s="176">
        <f t="shared" si="86"/>
        <v>0.19499409157880576</v>
      </c>
      <c r="S164" s="176">
        <f t="shared" si="86"/>
        <v>0.17809212072103886</v>
      </c>
      <c r="T164" s="20"/>
      <c r="U164" s="20"/>
      <c r="V164" s="142"/>
      <c r="W164" s="141"/>
      <c r="X164" s="74"/>
      <c r="Y164" s="75"/>
      <c r="Z164" s="75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</row>
    <row r="165" spans="1:45" ht="15" customHeight="1">
      <c r="A165" s="20"/>
      <c r="B165" s="71"/>
      <c r="C165" s="76" t="s">
        <v>197</v>
      </c>
      <c r="D165" s="219" t="s">
        <v>198</v>
      </c>
      <c r="E165" s="20"/>
      <c r="F165" s="20"/>
      <c r="G165" s="20"/>
      <c r="H165" s="66" t="s">
        <v>117</v>
      </c>
      <c r="I165" s="66"/>
      <c r="J165" s="181">
        <f>J167</f>
        <v>0.46400000000000002</v>
      </c>
      <c r="K165" s="84">
        <f t="shared" ref="K165:S165" si="87">K167-J167</f>
        <v>1.0252503999999998</v>
      </c>
      <c r="L165" s="84">
        <f t="shared" si="87"/>
        <v>1.0525053333333336</v>
      </c>
      <c r="M165" s="84">
        <f t="shared" si="87"/>
        <v>1.0797602666666659</v>
      </c>
      <c r="N165" s="84">
        <f t="shared" si="87"/>
        <v>1.1454810657004244</v>
      </c>
      <c r="O165" s="84">
        <f t="shared" si="87"/>
        <v>1.3554866627840774</v>
      </c>
      <c r="P165" s="84">
        <f t="shared" si="87"/>
        <v>1.5703093738200753</v>
      </c>
      <c r="Q165" s="84">
        <f t="shared" si="87"/>
        <v>1.7895064809756756</v>
      </c>
      <c r="R165" s="84">
        <f t="shared" si="87"/>
        <v>2.0126585144545057</v>
      </c>
      <c r="S165" s="84">
        <f t="shared" si="87"/>
        <v>2.2393695188264662</v>
      </c>
      <c r="T165" s="20"/>
      <c r="U165" s="20"/>
      <c r="V165" s="68">
        <f>IFERROR(POWER(M165/J165,1/3)-1,"N.A.")</f>
        <v>0.32516448229435735</v>
      </c>
      <c r="W165" s="69">
        <f>IFERROR(POWER(S165/M165,1/6)-1,"N.A.")</f>
        <v>0.12927505964094466</v>
      </c>
      <c r="X165" s="74"/>
      <c r="Y165" s="75"/>
      <c r="Z165" s="75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</row>
    <row r="166" spans="1:45" ht="15" customHeight="1">
      <c r="A166" s="20"/>
      <c r="B166" s="71"/>
      <c r="C166" s="76"/>
      <c r="D166" s="76"/>
      <c r="E166" s="20"/>
      <c r="F166" s="20"/>
      <c r="G166" s="20"/>
      <c r="H166" s="66"/>
      <c r="I166" s="66"/>
      <c r="J166" s="84"/>
      <c r="K166" s="176">
        <f t="shared" ref="K166:S166" si="88">K165/J165-1</f>
        <v>1.2095913793103441</v>
      </c>
      <c r="L166" s="176">
        <f t="shared" si="88"/>
        <v>2.6583684662141005E-2</v>
      </c>
      <c r="M166" s="176">
        <f t="shared" si="88"/>
        <v>2.5895292375397894E-2</v>
      </c>
      <c r="N166" s="176">
        <f t="shared" si="88"/>
        <v>6.086610246980606E-2</v>
      </c>
      <c r="O166" s="176">
        <f t="shared" si="88"/>
        <v>0.18333397501882009</v>
      </c>
      <c r="P166" s="176">
        <f t="shared" si="88"/>
        <v>0.15848382498634606</v>
      </c>
      <c r="Q166" s="176">
        <f t="shared" si="88"/>
        <v>0.13958848543479152</v>
      </c>
      <c r="R166" s="176">
        <f t="shared" si="88"/>
        <v>0.12470032148593457</v>
      </c>
      <c r="S166" s="176">
        <f t="shared" si="88"/>
        <v>0.11264255845875892</v>
      </c>
      <c r="T166" s="20"/>
      <c r="U166" s="20"/>
      <c r="V166" s="142"/>
      <c r="W166" s="141"/>
      <c r="X166" s="74"/>
      <c r="Y166" s="75"/>
      <c r="Z166" s="75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</row>
    <row r="167" spans="1:45" ht="15" customHeight="1">
      <c r="A167" s="20"/>
      <c r="B167" s="71"/>
      <c r="C167" s="20"/>
      <c r="D167" s="220" t="s">
        <v>199</v>
      </c>
      <c r="E167" s="20"/>
      <c r="F167" s="20"/>
      <c r="G167" s="20"/>
      <c r="H167" s="66" t="s">
        <v>117</v>
      </c>
      <c r="I167" s="66"/>
      <c r="J167" s="84">
        <f t="shared" ref="J167:S167" si="89">J169*J172</f>
        <v>0.46400000000000002</v>
      </c>
      <c r="K167" s="84">
        <f t="shared" si="89"/>
        <v>1.4892503999999998</v>
      </c>
      <c r="L167" s="84">
        <f t="shared" si="89"/>
        <v>2.5417557333333334</v>
      </c>
      <c r="M167" s="84">
        <f t="shared" si="89"/>
        <v>3.6215159999999993</v>
      </c>
      <c r="N167" s="84">
        <f t="shared" si="89"/>
        <v>4.7669970657004237</v>
      </c>
      <c r="O167" s="84">
        <f t="shared" si="89"/>
        <v>6.1224837284845011</v>
      </c>
      <c r="P167" s="84">
        <f t="shared" si="89"/>
        <v>7.6927931023045764</v>
      </c>
      <c r="Q167" s="84">
        <f t="shared" si="89"/>
        <v>9.4822995832802519</v>
      </c>
      <c r="R167" s="84">
        <f t="shared" si="89"/>
        <v>11.494958097734758</v>
      </c>
      <c r="S167" s="84">
        <f t="shared" si="89"/>
        <v>13.734327616561224</v>
      </c>
      <c r="T167" s="20"/>
      <c r="U167" s="20"/>
      <c r="V167" s="68">
        <f>IFERROR(POWER(M167/J167,1/3)-1,"N.A.")</f>
        <v>0.98361542093638676</v>
      </c>
      <c r="W167" s="69">
        <f>IFERROR(POWER(S167/M167,1/6)-1,"N.A.")</f>
        <v>0.24878066462838055</v>
      </c>
      <c r="X167" s="74"/>
      <c r="Y167" s="75"/>
      <c r="Z167" s="75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</row>
    <row r="168" spans="1:45" ht="15" customHeight="1">
      <c r="A168" s="20"/>
      <c r="B168" s="71"/>
      <c r="C168" s="20"/>
      <c r="D168" s="20"/>
      <c r="E168" s="20"/>
      <c r="F168" s="20"/>
      <c r="G168" s="20"/>
      <c r="H168" s="66"/>
      <c r="I168" s="66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20"/>
      <c r="U168" s="20"/>
      <c r="V168" s="142"/>
      <c r="W168" s="141"/>
      <c r="X168" s="74"/>
      <c r="Y168" s="75"/>
      <c r="Z168" s="75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</row>
    <row r="169" spans="1:45" ht="15" customHeight="1">
      <c r="A169" s="20"/>
      <c r="B169" s="71"/>
      <c r="C169" s="76"/>
      <c r="D169" s="20"/>
      <c r="E169" s="221" t="s">
        <v>200</v>
      </c>
      <c r="F169" s="20"/>
      <c r="G169" s="20"/>
      <c r="H169" s="66" t="s">
        <v>117</v>
      </c>
      <c r="I169" s="66"/>
      <c r="J169" s="222">
        <v>580</v>
      </c>
      <c r="K169" s="84">
        <f t="shared" ref="K169:L169" si="90">J169+($M169-$J169)/3</f>
        <v>587.86199999999997</v>
      </c>
      <c r="L169" s="84">
        <f t="shared" si="90"/>
        <v>595.72399999999993</v>
      </c>
      <c r="M169" s="223">
        <f>SUM(M179:M182)</f>
        <v>603.5859999999999</v>
      </c>
      <c r="N169" s="84">
        <f t="shared" ref="N169:S169" si="91">M169*(1+N170)</f>
        <v>611.1534699615928</v>
      </c>
      <c r="O169" s="84">
        <f t="shared" si="91"/>
        <v>618.43269984691938</v>
      </c>
      <c r="P169" s="84">
        <f t="shared" si="91"/>
        <v>625.43033352069733</v>
      </c>
      <c r="Q169" s="84">
        <f t="shared" si="91"/>
        <v>632.15330555201695</v>
      </c>
      <c r="R169" s="84">
        <f t="shared" si="91"/>
        <v>638.60878320748657</v>
      </c>
      <c r="S169" s="84">
        <f t="shared" si="91"/>
        <v>644.80411345357857</v>
      </c>
      <c r="T169" s="20"/>
      <c r="U169" s="20"/>
      <c r="V169" s="142"/>
      <c r="W169" s="141"/>
      <c r="X169" s="74"/>
      <c r="Y169" s="75"/>
      <c r="Z169" s="75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</row>
    <row r="170" spans="1:45" ht="15" customHeight="1">
      <c r="A170" s="20"/>
      <c r="B170" s="71"/>
      <c r="C170" s="76"/>
      <c r="D170" s="20"/>
      <c r="E170" s="20"/>
      <c r="F170" s="20"/>
      <c r="G170" s="20" t="s">
        <v>157</v>
      </c>
      <c r="H170" s="66"/>
      <c r="I170" s="66"/>
      <c r="J170" s="20"/>
      <c r="K170" s="176">
        <f t="shared" ref="K170:M170" si="92">K169/J169-1</f>
        <v>1.3555172413793004E-2</v>
      </c>
      <c r="L170" s="176">
        <f t="shared" si="92"/>
        <v>1.3373887068733659E-2</v>
      </c>
      <c r="M170" s="176">
        <f t="shared" si="92"/>
        <v>1.3197386709281389E-2</v>
      </c>
      <c r="N170" s="176">
        <f t="shared" ref="N170:S170" si="93">M170*$T$170</f>
        <v>1.2537517373817319E-2</v>
      </c>
      <c r="O170" s="176">
        <f t="shared" si="93"/>
        <v>1.1910641505126452E-2</v>
      </c>
      <c r="P170" s="176">
        <f t="shared" si="93"/>
        <v>1.1315109429870129E-2</v>
      </c>
      <c r="Q170" s="176">
        <f t="shared" si="93"/>
        <v>1.0749353958376623E-2</v>
      </c>
      <c r="R170" s="176">
        <f t="shared" si="93"/>
        <v>1.0211886260457791E-2</v>
      </c>
      <c r="S170" s="176">
        <f t="shared" si="93"/>
        <v>9.7012919474349004E-3</v>
      </c>
      <c r="T170" s="171">
        <v>0.95</v>
      </c>
      <c r="U170" s="20"/>
      <c r="V170" s="142"/>
      <c r="W170" s="141"/>
      <c r="X170" s="74"/>
      <c r="Y170" s="75"/>
      <c r="Z170" s="75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</row>
    <row r="171" spans="1:45" ht="15" customHeight="1">
      <c r="A171" s="20"/>
      <c r="B171" s="71"/>
      <c r="C171" s="76"/>
      <c r="D171" s="20"/>
      <c r="E171" s="20"/>
      <c r="F171" s="20"/>
      <c r="G171" s="20"/>
      <c r="H171" s="66"/>
      <c r="I171" s="66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142"/>
      <c r="W171" s="141"/>
      <c r="X171" s="74"/>
      <c r="Y171" s="75"/>
      <c r="Z171" s="75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</row>
    <row r="172" spans="1:45" ht="15" customHeight="1">
      <c r="A172" s="20"/>
      <c r="B172" s="71"/>
      <c r="C172" s="20"/>
      <c r="D172" s="20"/>
      <c r="E172" s="221" t="s">
        <v>175</v>
      </c>
      <c r="F172" s="20"/>
      <c r="G172" s="20"/>
      <c r="H172" s="66" t="s">
        <v>69</v>
      </c>
      <c r="I172" s="66"/>
      <c r="J172" s="224">
        <v>8.0000000000000004E-4</v>
      </c>
      <c r="K172" s="83">
        <f t="shared" ref="K172:L172" si="94">J172+($M$172-$J$172)/3</f>
        <v>2.5333333333333332E-3</v>
      </c>
      <c r="L172" s="83">
        <f t="shared" si="94"/>
        <v>4.2666666666666669E-3</v>
      </c>
      <c r="M172" s="225">
        <v>6.0000000000000001E-3</v>
      </c>
      <c r="N172" s="226">
        <f t="shared" ref="N172:S172" si="95">M172+N173</f>
        <v>7.7999999999999996E-3</v>
      </c>
      <c r="O172" s="226">
        <f t="shared" si="95"/>
        <v>9.8999999999999991E-3</v>
      </c>
      <c r="P172" s="226">
        <f t="shared" si="95"/>
        <v>1.2299999999999998E-2</v>
      </c>
      <c r="Q172" s="226">
        <f t="shared" si="95"/>
        <v>1.4999999999999998E-2</v>
      </c>
      <c r="R172" s="226">
        <f t="shared" si="95"/>
        <v>1.7999999999999999E-2</v>
      </c>
      <c r="S172" s="226">
        <f t="shared" si="95"/>
        <v>2.1299999999999999E-2</v>
      </c>
      <c r="T172" s="227">
        <v>2.5000000000000001E-3</v>
      </c>
      <c r="U172" s="191">
        <v>3.0000000000000001E-3</v>
      </c>
      <c r="V172" s="68">
        <f>IFERROR(POWER(M172/J172,1/3)-1,"N.A.")</f>
        <v>0.95743382058443172</v>
      </c>
      <c r="W172" s="69">
        <f>IFERROR(POWER(S172/M172,1/6)-1,"N.A.")</f>
        <v>0.2351074050058557</v>
      </c>
      <c r="X172" s="74"/>
      <c r="Y172" s="75"/>
      <c r="Z172" s="75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</row>
    <row r="173" spans="1:45" ht="15.75" customHeight="1">
      <c r="A173" s="20"/>
      <c r="B173" s="71"/>
      <c r="C173" s="20"/>
      <c r="D173" s="20"/>
      <c r="E173" s="20"/>
      <c r="F173" s="20"/>
      <c r="G173" s="20"/>
      <c r="H173" s="66"/>
      <c r="I173" s="66"/>
      <c r="J173" s="20"/>
      <c r="K173" s="83">
        <f t="shared" ref="K173:M173" si="96">K172-J172</f>
        <v>1.7333333333333333E-3</v>
      </c>
      <c r="L173" s="83">
        <f t="shared" si="96"/>
        <v>1.7333333333333337E-3</v>
      </c>
      <c r="M173" s="83">
        <f t="shared" si="96"/>
        <v>1.7333333333333333E-3</v>
      </c>
      <c r="N173" s="173">
        <v>1.8E-3</v>
      </c>
      <c r="O173" s="176">
        <f t="shared" ref="O173:S173" si="97">N173+$T$173</f>
        <v>2.0999999999999999E-3</v>
      </c>
      <c r="P173" s="176">
        <f t="shared" si="97"/>
        <v>2.3999999999999998E-3</v>
      </c>
      <c r="Q173" s="176">
        <f t="shared" si="97"/>
        <v>2.6999999999999997E-3</v>
      </c>
      <c r="R173" s="176">
        <f t="shared" si="97"/>
        <v>2.9999999999999996E-3</v>
      </c>
      <c r="S173" s="176">
        <f t="shared" si="97"/>
        <v>3.2999999999999995E-3</v>
      </c>
      <c r="T173" s="173">
        <v>2.9999999999999997E-4</v>
      </c>
      <c r="U173" s="20"/>
      <c r="V173" s="142"/>
      <c r="W173" s="141"/>
      <c r="X173" s="74"/>
      <c r="Y173" s="75"/>
      <c r="Z173" s="75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</row>
    <row r="174" spans="1:45" ht="15" customHeight="1">
      <c r="A174" s="20"/>
      <c r="B174" s="71"/>
      <c r="C174" s="76" t="s">
        <v>201</v>
      </c>
      <c r="D174" s="219" t="s">
        <v>202</v>
      </c>
      <c r="E174" s="20"/>
      <c r="F174" s="20"/>
      <c r="G174" s="20"/>
      <c r="H174" s="66" t="s">
        <v>140</v>
      </c>
      <c r="I174" s="66"/>
      <c r="J174" s="222">
        <v>300</v>
      </c>
      <c r="K174" s="84">
        <f t="shared" ref="K174:L174" si="98">J174+($M174-$J174)/3</f>
        <v>333.33333333333331</v>
      </c>
      <c r="L174" s="84">
        <f t="shared" si="98"/>
        <v>366.66666666666663</v>
      </c>
      <c r="M174" s="222">
        <v>400</v>
      </c>
      <c r="N174" s="84">
        <f t="shared" ref="N174:R174" si="99">M174+($S174-$M174)/6</f>
        <v>433.33333333333331</v>
      </c>
      <c r="O174" s="84">
        <f t="shared" si="99"/>
        <v>466.66666666666663</v>
      </c>
      <c r="P174" s="84">
        <f t="shared" si="99"/>
        <v>499.99999999999994</v>
      </c>
      <c r="Q174" s="84">
        <f t="shared" si="99"/>
        <v>533.33333333333326</v>
      </c>
      <c r="R174" s="84">
        <f t="shared" si="99"/>
        <v>566.66666666666663</v>
      </c>
      <c r="S174" s="222">
        <v>600</v>
      </c>
      <c r="T174" s="20"/>
      <c r="U174" s="20"/>
      <c r="V174" s="142"/>
      <c r="W174" s="141"/>
      <c r="X174" s="74"/>
      <c r="Y174" s="75"/>
      <c r="Z174" s="75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</row>
    <row r="175" spans="1:45" ht="15.75" customHeight="1">
      <c r="A175" s="20"/>
      <c r="B175" s="71"/>
      <c r="C175" s="20"/>
      <c r="D175" s="20"/>
      <c r="E175" s="20"/>
      <c r="F175" s="20"/>
      <c r="G175" s="20"/>
      <c r="H175" s="66"/>
      <c r="I175" s="66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142"/>
      <c r="W175" s="141"/>
      <c r="X175" s="74"/>
      <c r="Y175" s="75"/>
      <c r="Z175" s="75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</row>
    <row r="176" spans="1:45" ht="15.75" customHeight="1">
      <c r="A176" s="20"/>
      <c r="B176" s="71"/>
      <c r="C176" s="20" t="s">
        <v>96</v>
      </c>
      <c r="D176" s="20"/>
      <c r="E176" s="20"/>
      <c r="F176" s="20"/>
      <c r="G176" s="20"/>
      <c r="H176" s="66"/>
      <c r="I176" s="66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142"/>
      <c r="W176" s="141"/>
      <c r="X176" s="74"/>
      <c r="Y176" s="75"/>
      <c r="Z176" s="75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</row>
    <row r="177" spans="1:45" ht="15.75" customHeight="1">
      <c r="A177" s="20"/>
      <c r="B177" s="71"/>
      <c r="C177" s="20"/>
      <c r="D177" s="20" t="s">
        <v>203</v>
      </c>
      <c r="E177" s="20"/>
      <c r="F177" s="20"/>
      <c r="G177" s="20"/>
      <c r="H177" s="66"/>
      <c r="I177" s="66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142"/>
      <c r="W177" s="141"/>
      <c r="X177" s="74"/>
      <c r="Y177" s="75"/>
      <c r="Z177" s="75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</row>
    <row r="178" spans="1:45" ht="15.75" customHeight="1">
      <c r="A178" s="20"/>
      <c r="B178" s="71"/>
      <c r="C178" s="178" t="s">
        <v>200</v>
      </c>
      <c r="D178" s="133"/>
      <c r="E178" s="133"/>
      <c r="F178" s="133"/>
      <c r="G178" s="133"/>
      <c r="H178" s="90"/>
      <c r="I178" s="90"/>
      <c r="J178" s="133"/>
      <c r="K178" s="133"/>
      <c r="L178" s="133"/>
      <c r="M178" s="139"/>
      <c r="N178" s="20"/>
      <c r="O178" s="20"/>
      <c r="P178" s="20"/>
      <c r="Q178" s="20"/>
      <c r="R178" s="20"/>
      <c r="S178" s="20"/>
      <c r="T178" s="20"/>
      <c r="U178" s="20"/>
      <c r="V178" s="142"/>
      <c r="W178" s="141"/>
      <c r="X178" s="74"/>
      <c r="Y178" s="75"/>
      <c r="Z178" s="75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</row>
    <row r="179" spans="1:45" ht="15.75" customHeight="1">
      <c r="A179" s="20"/>
      <c r="B179" s="71"/>
      <c r="C179" s="142"/>
      <c r="D179" s="20" t="s">
        <v>204</v>
      </c>
      <c r="G179" s="20"/>
      <c r="H179" s="66" t="s">
        <v>117</v>
      </c>
      <c r="I179" s="66"/>
      <c r="J179" s="20"/>
      <c r="K179" s="20"/>
      <c r="L179" s="20"/>
      <c r="M179" s="228">
        <v>3.5</v>
      </c>
      <c r="N179" s="20"/>
      <c r="O179" s="20"/>
      <c r="P179" s="20"/>
      <c r="Q179" s="20"/>
      <c r="R179" s="20"/>
      <c r="S179" s="20"/>
      <c r="T179" s="20"/>
      <c r="U179" s="20"/>
      <c r="V179" s="142"/>
      <c r="W179" s="141"/>
      <c r="X179" s="74"/>
      <c r="Y179" s="75"/>
      <c r="Z179" s="75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</row>
    <row r="180" spans="1:45" ht="15.75" customHeight="1">
      <c r="A180" s="20"/>
      <c r="B180" s="71"/>
      <c r="C180" s="142"/>
      <c r="D180" s="20" t="s">
        <v>205</v>
      </c>
      <c r="E180" s="20"/>
      <c r="F180" s="20"/>
      <c r="G180" s="20"/>
      <c r="H180" s="66" t="s">
        <v>117</v>
      </c>
      <c r="I180" s="66"/>
      <c r="J180" s="20"/>
      <c r="K180" s="20"/>
      <c r="L180" s="20"/>
      <c r="M180" s="228">
        <v>600</v>
      </c>
      <c r="N180" s="20"/>
      <c r="O180" s="20"/>
      <c r="P180" s="20"/>
      <c r="Q180" s="20"/>
      <c r="R180" s="20"/>
      <c r="S180" s="20"/>
      <c r="T180" s="20"/>
      <c r="U180" s="20"/>
      <c r="V180" s="142"/>
      <c r="W180" s="141"/>
      <c r="X180" s="74"/>
      <c r="Y180" s="75"/>
      <c r="Z180" s="75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</row>
    <row r="181" spans="1:45" ht="15.75" customHeight="1">
      <c r="A181" s="20"/>
      <c r="B181" s="71"/>
      <c r="C181" s="142"/>
      <c r="D181" s="121" t="s">
        <v>206</v>
      </c>
      <c r="E181" s="20"/>
      <c r="F181" s="20"/>
      <c r="G181" s="20"/>
      <c r="H181" s="66" t="s">
        <v>117</v>
      </c>
      <c r="I181" s="66"/>
      <c r="J181" s="20"/>
      <c r="K181" s="20"/>
      <c r="L181" s="20"/>
      <c r="M181" s="228">
        <v>0.06</v>
      </c>
      <c r="N181" s="20"/>
      <c r="O181" s="20"/>
      <c r="P181" s="20"/>
      <c r="Q181" s="20"/>
      <c r="R181" s="20"/>
      <c r="S181" s="20"/>
      <c r="T181" s="20"/>
      <c r="U181" s="20"/>
      <c r="V181" s="142"/>
      <c r="W181" s="141"/>
      <c r="X181" s="74"/>
      <c r="Y181" s="75"/>
      <c r="Z181" s="75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</row>
    <row r="182" spans="1:45" ht="15.75" customHeight="1">
      <c r="A182" s="20"/>
      <c r="B182" s="71"/>
      <c r="C182" s="145"/>
      <c r="D182" s="215" t="s">
        <v>207</v>
      </c>
      <c r="E182" s="147"/>
      <c r="F182" s="147"/>
      <c r="G182" s="147"/>
      <c r="H182" s="149"/>
      <c r="I182" s="149"/>
      <c r="J182" s="147"/>
      <c r="K182" s="147"/>
      <c r="L182" s="147"/>
      <c r="M182" s="229">
        <v>2.5999999999999999E-2</v>
      </c>
      <c r="N182" s="20"/>
      <c r="O182" s="20"/>
      <c r="P182" s="20"/>
      <c r="Q182" s="20"/>
      <c r="R182" s="20"/>
      <c r="S182" s="20"/>
      <c r="T182" s="20"/>
      <c r="U182" s="20"/>
      <c r="V182" s="142"/>
      <c r="W182" s="141"/>
      <c r="X182" s="74"/>
      <c r="Y182" s="75"/>
      <c r="Z182" s="75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</row>
    <row r="183" spans="1:45" ht="15.75" customHeight="1">
      <c r="A183" s="20"/>
      <c r="B183" s="71"/>
      <c r="C183" s="20"/>
      <c r="E183" s="20"/>
      <c r="F183" s="20"/>
      <c r="G183" s="20"/>
      <c r="H183" s="66"/>
      <c r="I183" s="66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142"/>
      <c r="W183" s="141"/>
      <c r="X183" s="74"/>
      <c r="Y183" s="75"/>
      <c r="Z183" s="75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</row>
    <row r="184" spans="1:45" ht="15.75" customHeight="1">
      <c r="A184" s="20"/>
      <c r="B184" s="71"/>
      <c r="C184" s="20"/>
      <c r="D184" s="230" t="s">
        <v>208</v>
      </c>
      <c r="E184" s="20"/>
      <c r="F184" s="20"/>
      <c r="G184" s="20"/>
      <c r="H184" s="66"/>
      <c r="I184" s="66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142"/>
      <c r="W184" s="141"/>
      <c r="X184" s="74"/>
      <c r="Y184" s="75"/>
      <c r="Z184" s="75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</row>
    <row r="185" spans="1:45" ht="15.75" customHeight="1">
      <c r="A185" s="20"/>
      <c r="B185" s="71"/>
      <c r="C185" s="20"/>
      <c r="D185" s="20"/>
      <c r="E185" s="20"/>
      <c r="F185" s="20"/>
      <c r="G185" s="20"/>
      <c r="H185" s="66"/>
      <c r="I185" s="66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142"/>
      <c r="W185" s="141"/>
      <c r="X185" s="74"/>
      <c r="Y185" s="75"/>
      <c r="Z185" s="75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</row>
    <row r="186" spans="1:45" ht="15" customHeight="1">
      <c r="A186" s="156"/>
      <c r="B186" s="157">
        <v>4</v>
      </c>
      <c r="C186" s="218" t="s">
        <v>209</v>
      </c>
      <c r="D186" s="156"/>
      <c r="E186" s="156"/>
      <c r="F186" s="156"/>
      <c r="G186" s="156"/>
      <c r="H186" s="159"/>
      <c r="I186" s="159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60"/>
      <c r="W186" s="161"/>
      <c r="X186" s="162"/>
      <c r="Y186" s="163"/>
      <c r="Z186" s="163"/>
      <c r="AA186" s="156"/>
      <c r="AB186" s="156"/>
      <c r="AC186" s="156"/>
      <c r="AD186" s="156"/>
      <c r="AE186" s="156"/>
      <c r="AF186" s="156"/>
      <c r="AG186" s="156"/>
      <c r="AH186" s="156"/>
      <c r="AI186" s="156"/>
      <c r="AJ186" s="156"/>
      <c r="AK186" s="156"/>
      <c r="AL186" s="156"/>
      <c r="AM186" s="156"/>
      <c r="AN186" s="156"/>
      <c r="AO186" s="156"/>
      <c r="AP186" s="156"/>
      <c r="AQ186" s="156"/>
      <c r="AR186" s="156"/>
      <c r="AS186" s="156"/>
    </row>
    <row r="187" spans="1:45" ht="15" customHeight="1">
      <c r="A187" s="20"/>
      <c r="B187" s="71">
        <v>3</v>
      </c>
      <c r="C187" s="219" t="s">
        <v>209</v>
      </c>
      <c r="D187" s="22"/>
      <c r="E187" s="20"/>
      <c r="F187" s="20"/>
      <c r="G187" s="20"/>
      <c r="H187" s="66" t="s">
        <v>113</v>
      </c>
      <c r="I187" s="66"/>
      <c r="J187" s="84">
        <f t="shared" ref="J187:S187" si="100">SUM(J189:J191)</f>
        <v>78.237690000000001</v>
      </c>
      <c r="K187" s="84">
        <f t="shared" si="100"/>
        <v>120.98176816666668</v>
      </c>
      <c r="L187" s="84">
        <f t="shared" si="100"/>
        <v>214.2686836111111</v>
      </c>
      <c r="M187" s="84">
        <f t="shared" si="100"/>
        <v>309.54260547619054</v>
      </c>
      <c r="N187" s="84">
        <f t="shared" si="100"/>
        <v>329.23308147314799</v>
      </c>
      <c r="O187" s="84">
        <f t="shared" si="100"/>
        <v>542.40197379762549</v>
      </c>
      <c r="P187" s="84">
        <f t="shared" si="100"/>
        <v>766.28187943735543</v>
      </c>
      <c r="Q187" s="84">
        <f t="shared" si="100"/>
        <v>979.8411054537105</v>
      </c>
      <c r="R187" s="84">
        <f t="shared" si="100"/>
        <v>1179.4039407261105</v>
      </c>
      <c r="S187" s="84">
        <f t="shared" si="100"/>
        <v>1361.2736337142942</v>
      </c>
      <c r="T187" s="20"/>
      <c r="U187" s="20"/>
      <c r="V187" s="68">
        <f>IFERROR(POWER(M187/J187,1/3)-1,"N.A.")</f>
        <v>0.5816175359963105</v>
      </c>
      <c r="W187" s="69">
        <f>IFERROR(POWER(S187/M187,1/6)-1,"N.A.")</f>
        <v>0.27998289645126895</v>
      </c>
      <c r="X187" s="74"/>
      <c r="Y187" s="75"/>
      <c r="Z187" s="75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</row>
    <row r="188" spans="1:45" ht="15" customHeight="1">
      <c r="A188" s="20"/>
      <c r="B188" s="71"/>
      <c r="C188" s="76"/>
      <c r="D188" s="231"/>
      <c r="E188" s="20"/>
      <c r="F188" s="20"/>
      <c r="G188" s="20"/>
      <c r="H188" s="66"/>
      <c r="I188" s="66"/>
      <c r="J188" s="84"/>
      <c r="K188" s="176">
        <f t="shared" ref="K188:S188" si="101">K187/J187-1</f>
        <v>0.54633614779100315</v>
      </c>
      <c r="L188" s="176">
        <f t="shared" si="101"/>
        <v>0.77108242719622577</v>
      </c>
      <c r="M188" s="176">
        <f t="shared" si="101"/>
        <v>0.44464697434739331</v>
      </c>
      <c r="N188" s="176">
        <f t="shared" si="101"/>
        <v>6.3611521156081929E-2</v>
      </c>
      <c r="O188" s="176">
        <f t="shared" si="101"/>
        <v>0.64747106023081513</v>
      </c>
      <c r="P188" s="176">
        <f t="shared" si="101"/>
        <v>0.41275643610261148</v>
      </c>
      <c r="Q188" s="176">
        <f t="shared" si="101"/>
        <v>0.27869538840349661</v>
      </c>
      <c r="R188" s="176">
        <f t="shared" si="101"/>
        <v>0.20366856846651005</v>
      </c>
      <c r="S188" s="176">
        <f t="shared" si="101"/>
        <v>0.15420475267889477</v>
      </c>
      <c r="T188" s="20"/>
      <c r="U188" s="20"/>
      <c r="V188" s="68"/>
      <c r="W188" s="69"/>
      <c r="X188" s="74"/>
      <c r="Y188" s="75"/>
      <c r="Z188" s="75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</row>
    <row r="189" spans="1:45" ht="15" customHeight="1">
      <c r="A189" s="20"/>
      <c r="B189" s="71"/>
      <c r="C189" s="76">
        <v>3.1</v>
      </c>
      <c r="D189" s="231" t="s">
        <v>210</v>
      </c>
      <c r="E189" s="20"/>
      <c r="F189" s="20"/>
      <c r="G189" s="20"/>
      <c r="H189" s="66" t="s">
        <v>113</v>
      </c>
      <c r="I189" s="66"/>
      <c r="J189" s="84">
        <f t="shared" ref="J189:S189" si="102">J199</f>
        <v>16.375</v>
      </c>
      <c r="K189" s="84">
        <f t="shared" si="102"/>
        <v>29.285666666666668</v>
      </c>
      <c r="L189" s="84">
        <f t="shared" si="102"/>
        <v>49.041633333333337</v>
      </c>
      <c r="M189" s="84">
        <f t="shared" si="102"/>
        <v>92.380800000000008</v>
      </c>
      <c r="N189" s="84">
        <f t="shared" si="102"/>
        <v>114.31720833333338</v>
      </c>
      <c r="O189" s="84">
        <f t="shared" si="102"/>
        <v>120.49214999999998</v>
      </c>
      <c r="P189" s="84">
        <f t="shared" si="102"/>
        <v>138.60547500000001</v>
      </c>
      <c r="Q189" s="84">
        <f t="shared" si="102"/>
        <v>157.86783333333329</v>
      </c>
      <c r="R189" s="84">
        <f t="shared" si="102"/>
        <v>178.416875</v>
      </c>
      <c r="S189" s="84">
        <f t="shared" si="102"/>
        <v>200.24161666666669</v>
      </c>
      <c r="T189" s="20"/>
      <c r="U189" s="20"/>
      <c r="V189" s="68">
        <f t="shared" ref="V189:V191" si="103">IFERROR(POWER(M189/J189,1/3)-1,"N.A.")</f>
        <v>0.78019182931533337</v>
      </c>
      <c r="W189" s="69">
        <f t="shared" ref="W189:W191" si="104">IFERROR(POWER(S189/M189,1/6)-1,"N.A.")</f>
        <v>0.13761533409564231</v>
      </c>
      <c r="X189" s="74"/>
      <c r="Y189" s="75"/>
      <c r="Z189" s="75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</row>
    <row r="190" spans="1:45" ht="15" customHeight="1">
      <c r="A190" s="20"/>
      <c r="B190" s="71"/>
      <c r="C190" s="76">
        <v>3.2</v>
      </c>
      <c r="D190" s="231" t="s">
        <v>211</v>
      </c>
      <c r="E190" s="20"/>
      <c r="F190" s="20"/>
      <c r="G190" s="20"/>
      <c r="H190" s="66" t="s">
        <v>113</v>
      </c>
      <c r="I190" s="66"/>
      <c r="J190" s="84">
        <f t="shared" ref="J190:S190" si="105">J229</f>
        <v>53.862690000000001</v>
      </c>
      <c r="K190" s="84">
        <f t="shared" si="105"/>
        <v>81.896101500000015</v>
      </c>
      <c r="L190" s="84">
        <f t="shared" si="105"/>
        <v>154.29371694444444</v>
      </c>
      <c r="M190" s="84">
        <f t="shared" si="105"/>
        <v>198.51894833333336</v>
      </c>
      <c r="N190" s="84">
        <f t="shared" si="105"/>
        <v>168.9539683779098</v>
      </c>
      <c r="O190" s="84">
        <f t="shared" si="105"/>
        <v>324.86220475000653</v>
      </c>
      <c r="P190" s="84">
        <f t="shared" si="105"/>
        <v>481.42640443735536</v>
      </c>
      <c r="Q190" s="84">
        <f t="shared" si="105"/>
        <v>637.12089116799643</v>
      </c>
      <c r="R190" s="84">
        <f t="shared" si="105"/>
        <v>790.37278001182472</v>
      </c>
      <c r="S190" s="84">
        <f t="shared" si="105"/>
        <v>939.77487419048452</v>
      </c>
      <c r="T190" s="20"/>
      <c r="U190" s="20"/>
      <c r="V190" s="68">
        <f t="shared" si="103"/>
        <v>0.54467805126627655</v>
      </c>
      <c r="W190" s="69">
        <f t="shared" si="104"/>
        <v>0.29579702131901131</v>
      </c>
      <c r="X190" s="74"/>
      <c r="Y190" s="75"/>
      <c r="Z190" s="75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</row>
    <row r="191" spans="1:45" ht="15" customHeight="1">
      <c r="A191" s="20"/>
      <c r="B191" s="71"/>
      <c r="C191" s="76">
        <v>3.3</v>
      </c>
      <c r="D191" s="231" t="s">
        <v>212</v>
      </c>
      <c r="E191" s="20"/>
      <c r="F191" s="20"/>
      <c r="G191" s="20"/>
      <c r="H191" s="66" t="s">
        <v>113</v>
      </c>
      <c r="I191" s="66"/>
      <c r="J191" s="84">
        <f t="shared" ref="J191:S191" si="106">J247</f>
        <v>8</v>
      </c>
      <c r="K191" s="84">
        <f t="shared" si="106"/>
        <v>9.8000000000000007</v>
      </c>
      <c r="L191" s="84">
        <f t="shared" si="106"/>
        <v>10.933333333333334</v>
      </c>
      <c r="M191" s="84">
        <f t="shared" si="106"/>
        <v>18.642857142857142</v>
      </c>
      <c r="N191" s="84">
        <f t="shared" si="106"/>
        <v>45.961904761904783</v>
      </c>
      <c r="O191" s="84">
        <f t="shared" si="106"/>
        <v>97.047619047619037</v>
      </c>
      <c r="P191" s="84">
        <f t="shared" si="106"/>
        <v>146.25000000000006</v>
      </c>
      <c r="Q191" s="84">
        <f t="shared" si="106"/>
        <v>184.85238095238086</v>
      </c>
      <c r="R191" s="84">
        <f t="shared" si="106"/>
        <v>210.61428571428576</v>
      </c>
      <c r="S191" s="84">
        <f t="shared" si="106"/>
        <v>221.25714285714295</v>
      </c>
      <c r="T191" s="20"/>
      <c r="U191" s="20"/>
      <c r="V191" s="68">
        <f t="shared" si="103"/>
        <v>0.3257882373566543</v>
      </c>
      <c r="W191" s="69">
        <f t="shared" si="104"/>
        <v>0.51030318427421828</v>
      </c>
      <c r="X191" s="74"/>
      <c r="Y191" s="75"/>
      <c r="Z191" s="75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</row>
    <row r="192" spans="1:45" ht="15" customHeight="1">
      <c r="A192" s="20"/>
      <c r="B192" s="71"/>
      <c r="C192" s="20"/>
      <c r="D192" s="231"/>
      <c r="E192" s="20"/>
      <c r="F192" s="20"/>
      <c r="G192" s="20"/>
      <c r="H192" s="66"/>
      <c r="I192" s="66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142"/>
      <c r="W192" s="141"/>
      <c r="X192" s="74"/>
      <c r="Y192" s="75"/>
      <c r="Z192" s="75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</row>
    <row r="193" spans="1:45" ht="15" customHeight="1">
      <c r="A193" s="20"/>
      <c r="B193" s="71"/>
      <c r="C193" s="20"/>
      <c r="D193" s="231" t="s">
        <v>210</v>
      </c>
      <c r="E193" s="20"/>
      <c r="F193" s="20"/>
      <c r="G193" s="20"/>
      <c r="H193" s="66"/>
      <c r="I193" s="66"/>
      <c r="J193" s="20"/>
      <c r="K193" s="83">
        <f t="shared" ref="K193:S195" si="107">K189/J189-1</f>
        <v>0.78843765903307883</v>
      </c>
      <c r="L193" s="83">
        <f t="shared" si="107"/>
        <v>0.6745950806424077</v>
      </c>
      <c r="M193" s="83">
        <f t="shared" si="107"/>
        <v>0.88372192606418087</v>
      </c>
      <c r="N193" s="83">
        <f t="shared" si="107"/>
        <v>0.23745635817543653</v>
      </c>
      <c r="O193" s="83">
        <f t="shared" si="107"/>
        <v>5.4015854276823427E-2</v>
      </c>
      <c r="P193" s="83">
        <f t="shared" si="107"/>
        <v>0.15032784293416657</v>
      </c>
      <c r="Q193" s="83">
        <f t="shared" si="107"/>
        <v>0.13897256463594454</v>
      </c>
      <c r="R193" s="83">
        <f t="shared" si="107"/>
        <v>0.13016610941431006</v>
      </c>
      <c r="S193" s="83">
        <f t="shared" si="107"/>
        <v>0.12232442512327757</v>
      </c>
      <c r="T193" s="20"/>
      <c r="U193" s="20"/>
      <c r="V193" s="142"/>
      <c r="W193" s="141"/>
      <c r="X193" s="74"/>
      <c r="Y193" s="75"/>
      <c r="Z193" s="75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</row>
    <row r="194" spans="1:45" ht="15" customHeight="1">
      <c r="A194" s="20"/>
      <c r="B194" s="71"/>
      <c r="C194" s="20"/>
      <c r="D194" s="231" t="s">
        <v>211</v>
      </c>
      <c r="E194" s="20"/>
      <c r="F194" s="20"/>
      <c r="G194" s="20"/>
      <c r="H194" s="66"/>
      <c r="I194" s="66"/>
      <c r="J194" s="20"/>
      <c r="K194" s="83">
        <f t="shared" si="107"/>
        <v>0.52046066581524264</v>
      </c>
      <c r="L194" s="83">
        <f t="shared" si="107"/>
        <v>0.88401784844965325</v>
      </c>
      <c r="M194" s="83">
        <f t="shared" si="107"/>
        <v>0.28663015101783307</v>
      </c>
      <c r="N194" s="83">
        <f t="shared" si="107"/>
        <v>-0.14892774822573096</v>
      </c>
      <c r="O194" s="83">
        <f t="shared" si="107"/>
        <v>0.92278528802216186</v>
      </c>
      <c r="P194" s="83">
        <f t="shared" si="107"/>
        <v>0.4819403346961546</v>
      </c>
      <c r="Q194" s="83">
        <f t="shared" si="107"/>
        <v>0.32340246670226103</v>
      </c>
      <c r="R194" s="83">
        <f t="shared" si="107"/>
        <v>0.24053816311513598</v>
      </c>
      <c r="S194" s="83">
        <f t="shared" si="107"/>
        <v>0.18902737791200841</v>
      </c>
      <c r="T194" s="20"/>
      <c r="U194" s="20"/>
      <c r="V194" s="142"/>
      <c r="W194" s="141"/>
      <c r="X194" s="74"/>
      <c r="Y194" s="75"/>
      <c r="Z194" s="75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</row>
    <row r="195" spans="1:45" ht="15" customHeight="1">
      <c r="A195" s="20"/>
      <c r="B195" s="71"/>
      <c r="C195" s="20"/>
      <c r="D195" s="231" t="s">
        <v>212</v>
      </c>
      <c r="E195" s="20"/>
      <c r="F195" s="20"/>
      <c r="G195" s="20"/>
      <c r="H195" s="66"/>
      <c r="I195" s="66"/>
      <c r="J195" s="20"/>
      <c r="K195" s="83">
        <f t="shared" si="107"/>
        <v>0.22500000000000009</v>
      </c>
      <c r="L195" s="83">
        <f t="shared" si="107"/>
        <v>0.11564625850340127</v>
      </c>
      <c r="M195" s="83">
        <f t="shared" si="107"/>
        <v>0.70513937282229966</v>
      </c>
      <c r="N195" s="83">
        <f t="shared" si="107"/>
        <v>1.4653895274584943</v>
      </c>
      <c r="O195" s="83">
        <f t="shared" si="107"/>
        <v>1.1114794861168655</v>
      </c>
      <c r="P195" s="83">
        <f t="shared" si="107"/>
        <v>0.50699214916584956</v>
      </c>
      <c r="Q195" s="83">
        <f t="shared" si="107"/>
        <v>0.26394790394790268</v>
      </c>
      <c r="R195" s="83">
        <f t="shared" si="107"/>
        <v>0.13936474406862698</v>
      </c>
      <c r="S195" s="83">
        <f t="shared" si="107"/>
        <v>5.0532456080852217E-2</v>
      </c>
      <c r="T195" s="20"/>
      <c r="U195" s="20"/>
      <c r="V195" s="142"/>
      <c r="W195" s="141"/>
      <c r="X195" s="74"/>
      <c r="Y195" s="75"/>
      <c r="Z195" s="75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</row>
    <row r="196" spans="1:45" ht="15" customHeight="1">
      <c r="A196" s="20"/>
      <c r="B196" s="71"/>
      <c r="C196" s="20"/>
      <c r="D196" s="231"/>
      <c r="E196" s="20"/>
      <c r="F196" s="20"/>
      <c r="G196" s="20"/>
      <c r="H196" s="66"/>
      <c r="I196" s="66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142"/>
      <c r="W196" s="141"/>
      <c r="X196" s="74"/>
      <c r="Y196" s="75"/>
      <c r="Z196" s="75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</row>
    <row r="197" spans="1:45" ht="15" customHeight="1">
      <c r="A197" s="20"/>
      <c r="B197" s="71"/>
      <c r="C197" s="20"/>
      <c r="D197" s="231"/>
      <c r="E197" s="20"/>
      <c r="F197" s="20"/>
      <c r="G197" s="20"/>
      <c r="H197" s="66"/>
      <c r="I197" s="66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142"/>
      <c r="W197" s="141"/>
      <c r="X197" s="74"/>
      <c r="Y197" s="75"/>
      <c r="Z197" s="75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</row>
    <row r="198" spans="1:45" ht="15" customHeight="1">
      <c r="A198" s="20"/>
      <c r="B198" s="71"/>
      <c r="C198" s="20"/>
      <c r="D198" s="231"/>
      <c r="E198" s="20"/>
      <c r="F198" s="20"/>
      <c r="G198" s="20"/>
      <c r="H198" s="66"/>
      <c r="I198" s="66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142"/>
      <c r="W198" s="141"/>
      <c r="X198" s="74"/>
      <c r="Y198" s="75"/>
      <c r="Z198" s="75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</row>
    <row r="199" spans="1:45" ht="15" customHeight="1">
      <c r="A199" s="20"/>
      <c r="B199" s="232">
        <v>3.1</v>
      </c>
      <c r="C199" s="231" t="s">
        <v>213</v>
      </c>
      <c r="D199" s="20"/>
      <c r="E199" s="20"/>
      <c r="F199" s="20"/>
      <c r="G199" s="20"/>
      <c r="H199" s="66" t="s">
        <v>113</v>
      </c>
      <c r="I199" s="66"/>
      <c r="J199" s="84">
        <f t="shared" ref="J199:S199" si="108">J201*J225/1000</f>
        <v>16.375</v>
      </c>
      <c r="K199" s="84">
        <f t="shared" si="108"/>
        <v>29.285666666666668</v>
      </c>
      <c r="L199" s="84">
        <f t="shared" si="108"/>
        <v>49.041633333333337</v>
      </c>
      <c r="M199" s="84">
        <f t="shared" si="108"/>
        <v>92.380800000000008</v>
      </c>
      <c r="N199" s="84">
        <f t="shared" si="108"/>
        <v>114.31720833333338</v>
      </c>
      <c r="O199" s="84">
        <f t="shared" si="108"/>
        <v>120.49214999999998</v>
      </c>
      <c r="P199" s="84">
        <f t="shared" si="108"/>
        <v>138.60547500000001</v>
      </c>
      <c r="Q199" s="84">
        <f t="shared" si="108"/>
        <v>157.86783333333329</v>
      </c>
      <c r="R199" s="84">
        <f t="shared" si="108"/>
        <v>178.416875</v>
      </c>
      <c r="S199" s="84">
        <f t="shared" si="108"/>
        <v>200.24161666666669</v>
      </c>
      <c r="T199" s="20"/>
      <c r="U199" s="20"/>
      <c r="V199" s="142"/>
      <c r="W199" s="141"/>
      <c r="X199" s="74"/>
      <c r="Y199" s="75"/>
      <c r="Z199" s="75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</row>
    <row r="200" spans="1:45" ht="15" customHeight="1">
      <c r="A200" s="20"/>
      <c r="B200" s="232"/>
      <c r="C200" s="231"/>
      <c r="D200" s="20"/>
      <c r="E200" s="20"/>
      <c r="F200" s="20"/>
      <c r="G200" s="20"/>
      <c r="H200" s="66"/>
      <c r="I200" s="66"/>
      <c r="J200" s="20"/>
      <c r="K200" s="233">
        <f t="shared" ref="K200:S200" si="109">K199/J199-1</f>
        <v>0.78843765903307883</v>
      </c>
      <c r="L200" s="233">
        <f t="shared" si="109"/>
        <v>0.6745950806424077</v>
      </c>
      <c r="M200" s="233">
        <f t="shared" si="109"/>
        <v>0.88372192606418087</v>
      </c>
      <c r="N200" s="233">
        <f t="shared" si="109"/>
        <v>0.23745635817543653</v>
      </c>
      <c r="O200" s="233">
        <f t="shared" si="109"/>
        <v>5.4015854276823427E-2</v>
      </c>
      <c r="P200" s="233">
        <f t="shared" si="109"/>
        <v>0.15032784293416657</v>
      </c>
      <c r="Q200" s="233">
        <f t="shared" si="109"/>
        <v>0.13897256463594454</v>
      </c>
      <c r="R200" s="233">
        <f t="shared" si="109"/>
        <v>0.13016610941431006</v>
      </c>
      <c r="S200" s="233">
        <f t="shared" si="109"/>
        <v>0.12232442512327757</v>
      </c>
      <c r="T200" s="20"/>
      <c r="U200" s="20"/>
      <c r="V200" s="142"/>
      <c r="W200" s="141"/>
      <c r="X200" s="74"/>
      <c r="Y200" s="75"/>
      <c r="Z200" s="75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</row>
    <row r="201" spans="1:45" ht="15" customHeight="1">
      <c r="A201" s="20"/>
      <c r="B201" s="71"/>
      <c r="C201" s="231" t="s">
        <v>214</v>
      </c>
      <c r="D201" s="203" t="s">
        <v>215</v>
      </c>
      <c r="E201" s="20"/>
      <c r="F201" s="20"/>
      <c r="G201" s="20"/>
      <c r="H201" s="234" t="s">
        <v>52</v>
      </c>
      <c r="I201" s="66"/>
      <c r="J201" s="235">
        <f t="shared" ref="J201:S201" si="110">SUM(J202:J206)</f>
        <v>32.75</v>
      </c>
      <c r="K201" s="235">
        <f t="shared" si="110"/>
        <v>62.755000000000003</v>
      </c>
      <c r="L201" s="235">
        <f t="shared" si="110"/>
        <v>113.173</v>
      </c>
      <c r="M201" s="235">
        <f t="shared" si="110"/>
        <v>230.952</v>
      </c>
      <c r="N201" s="235">
        <f t="shared" si="110"/>
        <v>268.9816666666668</v>
      </c>
      <c r="O201" s="235">
        <f t="shared" si="110"/>
        <v>267.76033333333328</v>
      </c>
      <c r="P201" s="235">
        <f t="shared" si="110"/>
        <v>291.80099999999999</v>
      </c>
      <c r="Q201" s="235">
        <f t="shared" si="110"/>
        <v>315.73566666666659</v>
      </c>
      <c r="R201" s="235">
        <f t="shared" si="110"/>
        <v>339.84166666666664</v>
      </c>
      <c r="S201" s="235">
        <f t="shared" si="110"/>
        <v>364.07566666666673</v>
      </c>
      <c r="T201" s="20"/>
      <c r="U201" s="20"/>
      <c r="V201" s="142"/>
      <c r="W201" s="141"/>
      <c r="X201" s="74"/>
      <c r="Y201" s="75"/>
      <c r="Z201" s="75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</row>
    <row r="202" spans="1:45" ht="15" customHeight="1">
      <c r="A202" s="20"/>
      <c r="B202" s="71"/>
      <c r="C202" s="231"/>
      <c r="D202" s="195"/>
      <c r="E202" s="195" t="s">
        <v>216</v>
      </c>
      <c r="F202" s="20"/>
      <c r="G202" s="20"/>
      <c r="H202" s="234" t="s">
        <v>52</v>
      </c>
      <c r="I202" s="66"/>
      <c r="J202" s="236">
        <f t="shared" ref="J202:J205" si="111">J208</f>
        <v>32.75</v>
      </c>
      <c r="K202" s="235">
        <f t="shared" ref="K202:S205" si="112">K208-J208</f>
        <v>55.325000000000003</v>
      </c>
      <c r="L202" s="235">
        <f t="shared" si="112"/>
        <v>104.675</v>
      </c>
      <c r="M202" s="235">
        <f t="shared" si="112"/>
        <v>222.25</v>
      </c>
      <c r="N202" s="235">
        <f t="shared" si="112"/>
        <v>161.68000000000006</v>
      </c>
      <c r="O202" s="235">
        <f t="shared" si="112"/>
        <v>151.12399999999991</v>
      </c>
      <c r="P202" s="235">
        <f t="shared" si="112"/>
        <v>165.75599999999997</v>
      </c>
      <c r="Q202" s="235">
        <f t="shared" si="112"/>
        <v>180.27199999999993</v>
      </c>
      <c r="R202" s="235">
        <f t="shared" si="112"/>
        <v>194.93200000000002</v>
      </c>
      <c r="S202" s="235">
        <f t="shared" si="112"/>
        <v>209.7360000000001</v>
      </c>
      <c r="T202" s="20"/>
      <c r="U202" s="20"/>
      <c r="V202" s="142"/>
      <c r="W202" s="141"/>
      <c r="X202" s="74"/>
      <c r="Y202" s="75"/>
      <c r="Z202" s="75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</row>
    <row r="203" spans="1:45" ht="15" customHeight="1">
      <c r="A203" s="20"/>
      <c r="B203" s="71"/>
      <c r="C203" s="231"/>
      <c r="D203" s="195"/>
      <c r="E203" s="195" t="s">
        <v>217</v>
      </c>
      <c r="F203" s="20"/>
      <c r="G203" s="20"/>
      <c r="H203" s="234" t="s">
        <v>52</v>
      </c>
      <c r="I203" s="66"/>
      <c r="J203" s="236">
        <f t="shared" si="111"/>
        <v>0</v>
      </c>
      <c r="K203" s="235">
        <f t="shared" si="112"/>
        <v>7.43</v>
      </c>
      <c r="L203" s="235">
        <f t="shared" si="112"/>
        <v>8.4979999999999993</v>
      </c>
      <c r="M203" s="235">
        <f t="shared" si="112"/>
        <v>8.702</v>
      </c>
      <c r="N203" s="235">
        <f t="shared" si="112"/>
        <v>104.45000000000002</v>
      </c>
      <c r="O203" s="235">
        <f t="shared" si="112"/>
        <v>113.99200000000002</v>
      </c>
      <c r="P203" s="235">
        <f t="shared" si="112"/>
        <v>123.60600000000002</v>
      </c>
      <c r="Q203" s="235">
        <f t="shared" si="112"/>
        <v>133.22399999999999</v>
      </c>
      <c r="R203" s="235">
        <f t="shared" si="112"/>
        <v>142.86599999999999</v>
      </c>
      <c r="S203" s="235">
        <f t="shared" si="112"/>
        <v>152.48199999999997</v>
      </c>
      <c r="T203" s="20"/>
      <c r="U203" s="20"/>
      <c r="V203" s="142"/>
      <c r="W203" s="141"/>
      <c r="X203" s="74"/>
      <c r="Y203" s="75"/>
      <c r="Z203" s="75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</row>
    <row r="204" spans="1:45" ht="15" customHeight="1">
      <c r="A204" s="20"/>
      <c r="B204" s="71"/>
      <c r="C204" s="231"/>
      <c r="D204" s="195"/>
      <c r="E204" s="195" t="s">
        <v>218</v>
      </c>
      <c r="F204" s="20"/>
      <c r="G204" s="20"/>
      <c r="H204" s="234" t="s">
        <v>52</v>
      </c>
      <c r="I204" s="66"/>
      <c r="J204" s="236">
        <f t="shared" si="111"/>
        <v>0</v>
      </c>
      <c r="K204" s="235">
        <f t="shared" si="112"/>
        <v>0</v>
      </c>
      <c r="L204" s="235">
        <f t="shared" si="112"/>
        <v>0</v>
      </c>
      <c r="M204" s="235">
        <f t="shared" si="112"/>
        <v>0</v>
      </c>
      <c r="N204" s="235">
        <f t="shared" si="112"/>
        <v>2.8516666666666666</v>
      </c>
      <c r="O204" s="235">
        <f t="shared" si="112"/>
        <v>2.644333333333333</v>
      </c>
      <c r="P204" s="235">
        <f t="shared" si="112"/>
        <v>2.4390000000000009</v>
      </c>
      <c r="Q204" s="235">
        <f t="shared" si="112"/>
        <v>2.2396666666666665</v>
      </c>
      <c r="R204" s="235">
        <f t="shared" si="112"/>
        <v>2.043666666666665</v>
      </c>
      <c r="S204" s="235">
        <f t="shared" si="112"/>
        <v>1.8576666666666686</v>
      </c>
      <c r="T204" s="20"/>
      <c r="U204" s="20"/>
      <c r="V204" s="142"/>
      <c r="W204" s="141"/>
      <c r="X204" s="74"/>
      <c r="Y204" s="75"/>
      <c r="Z204" s="75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</row>
    <row r="205" spans="1:45" ht="15" customHeight="1">
      <c r="A205" s="20"/>
      <c r="B205" s="71"/>
      <c r="C205" s="231"/>
      <c r="D205" s="195"/>
      <c r="E205" s="195" t="s">
        <v>219</v>
      </c>
      <c r="F205" s="20"/>
      <c r="G205" s="20"/>
      <c r="H205" s="234" t="s">
        <v>52</v>
      </c>
      <c r="I205" s="66"/>
      <c r="J205" s="236">
        <f t="shared" si="111"/>
        <v>0</v>
      </c>
      <c r="K205" s="235">
        <f t="shared" si="112"/>
        <v>0</v>
      </c>
      <c r="L205" s="235">
        <f t="shared" si="112"/>
        <v>0</v>
      </c>
      <c r="M205" s="235">
        <f t="shared" si="112"/>
        <v>0</v>
      </c>
      <c r="N205" s="235">
        <f t="shared" si="112"/>
        <v>0</v>
      </c>
      <c r="O205" s="235">
        <f t="shared" si="112"/>
        <v>0</v>
      </c>
      <c r="P205" s="235">
        <f t="shared" si="112"/>
        <v>0</v>
      </c>
      <c r="Q205" s="235">
        <f t="shared" si="112"/>
        <v>0</v>
      </c>
      <c r="R205" s="235">
        <f t="shared" si="112"/>
        <v>0</v>
      </c>
      <c r="S205" s="235">
        <f t="shared" si="112"/>
        <v>0</v>
      </c>
      <c r="T205" s="20"/>
      <c r="U205" s="20"/>
      <c r="V205" s="142"/>
      <c r="W205" s="141"/>
      <c r="X205" s="74"/>
      <c r="Y205" s="75"/>
      <c r="Z205" s="75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</row>
    <row r="206" spans="1:45" ht="15" customHeight="1">
      <c r="A206" s="20"/>
      <c r="B206" s="71"/>
      <c r="C206" s="231"/>
      <c r="D206" s="195"/>
      <c r="E206" s="195"/>
      <c r="F206" s="20"/>
      <c r="G206" s="20"/>
      <c r="H206" s="234"/>
      <c r="I206" s="66"/>
      <c r="J206" s="181"/>
      <c r="K206" s="84"/>
      <c r="L206" s="84"/>
      <c r="M206" s="84"/>
      <c r="N206" s="84"/>
      <c r="O206" s="84"/>
      <c r="P206" s="84"/>
      <c r="Q206" s="84"/>
      <c r="R206" s="84"/>
      <c r="S206" s="84"/>
      <c r="T206" s="20"/>
      <c r="U206" s="20"/>
      <c r="V206" s="142"/>
      <c r="W206" s="141"/>
      <c r="X206" s="74"/>
      <c r="Y206" s="75"/>
      <c r="Z206" s="75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</row>
    <row r="207" spans="1:45" ht="15" customHeight="1">
      <c r="A207" s="20"/>
      <c r="B207" s="71"/>
      <c r="C207" s="20"/>
      <c r="D207" s="220" t="s">
        <v>220</v>
      </c>
      <c r="E207" s="20"/>
      <c r="F207" s="20"/>
      <c r="G207" s="20"/>
      <c r="H207" s="234" t="s">
        <v>52</v>
      </c>
      <c r="I207" s="66"/>
      <c r="J207" s="235">
        <f t="shared" ref="J207:S207" si="113">SUM(J208:J210)</f>
        <v>32.75</v>
      </c>
      <c r="K207" s="235">
        <f t="shared" si="113"/>
        <v>95.504999999999995</v>
      </c>
      <c r="L207" s="235">
        <f t="shared" si="113"/>
        <v>208.678</v>
      </c>
      <c r="M207" s="235">
        <f t="shared" si="113"/>
        <v>439.63</v>
      </c>
      <c r="N207" s="235">
        <f t="shared" si="113"/>
        <v>708.61166666666679</v>
      </c>
      <c r="O207" s="235">
        <f t="shared" si="113"/>
        <v>976.37199999999996</v>
      </c>
      <c r="P207" s="235">
        <f t="shared" si="113"/>
        <v>1268.173</v>
      </c>
      <c r="Q207" s="235">
        <f t="shared" si="113"/>
        <v>1583.9086666666667</v>
      </c>
      <c r="R207" s="235">
        <f t="shared" si="113"/>
        <v>1923.7503333333332</v>
      </c>
      <c r="S207" s="235">
        <f t="shared" si="113"/>
        <v>2287.826</v>
      </c>
      <c r="T207" s="20"/>
      <c r="U207" s="20"/>
      <c r="V207" s="142"/>
      <c r="W207" s="141"/>
      <c r="X207" s="74"/>
      <c r="Y207" s="75"/>
      <c r="Z207" s="75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</row>
    <row r="208" spans="1:45" ht="15" customHeight="1">
      <c r="A208" s="20"/>
      <c r="B208" s="71"/>
      <c r="C208" s="20"/>
      <c r="D208" s="220"/>
      <c r="E208" s="195" t="s">
        <v>216</v>
      </c>
      <c r="F208" s="20"/>
      <c r="G208" s="20"/>
      <c r="H208" s="234" t="s">
        <v>52</v>
      </c>
      <c r="I208" s="66"/>
      <c r="J208" s="235">
        <f t="shared" ref="J208:S209" si="114">J214*J220</f>
        <v>32.75</v>
      </c>
      <c r="K208" s="235">
        <f t="shared" si="114"/>
        <v>88.075000000000003</v>
      </c>
      <c r="L208" s="235">
        <f t="shared" si="114"/>
        <v>192.75</v>
      </c>
      <c r="M208" s="235">
        <f t="shared" si="114"/>
        <v>415</v>
      </c>
      <c r="N208" s="235">
        <f t="shared" si="114"/>
        <v>576.68000000000006</v>
      </c>
      <c r="O208" s="235">
        <f t="shared" si="114"/>
        <v>727.80399999999997</v>
      </c>
      <c r="P208" s="235">
        <f t="shared" si="114"/>
        <v>893.56</v>
      </c>
      <c r="Q208" s="235">
        <f t="shared" si="114"/>
        <v>1073.8319999999999</v>
      </c>
      <c r="R208" s="235">
        <f t="shared" si="114"/>
        <v>1268.7639999999999</v>
      </c>
      <c r="S208" s="235">
        <f t="shared" si="114"/>
        <v>1478.5</v>
      </c>
      <c r="T208" s="20"/>
      <c r="U208" s="20"/>
      <c r="V208" s="142"/>
      <c r="W208" s="141"/>
      <c r="X208" s="74"/>
      <c r="Y208" s="75"/>
      <c r="Z208" s="75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</row>
    <row r="209" spans="1:45" ht="15" customHeight="1">
      <c r="A209" s="20"/>
      <c r="B209" s="71"/>
      <c r="C209" s="20"/>
      <c r="D209" s="220"/>
      <c r="E209" s="195" t="s">
        <v>217</v>
      </c>
      <c r="F209" s="20"/>
      <c r="G209" s="20"/>
      <c r="H209" s="234" t="s">
        <v>52</v>
      </c>
      <c r="I209" s="66"/>
      <c r="J209" s="235">
        <f t="shared" si="114"/>
        <v>0</v>
      </c>
      <c r="K209" s="235">
        <f t="shared" si="114"/>
        <v>7.43</v>
      </c>
      <c r="L209" s="235">
        <f t="shared" si="114"/>
        <v>15.927999999999999</v>
      </c>
      <c r="M209" s="235">
        <f t="shared" si="114"/>
        <v>24.63</v>
      </c>
      <c r="N209" s="235">
        <f t="shared" si="114"/>
        <v>129.08000000000001</v>
      </c>
      <c r="O209" s="235">
        <f t="shared" si="114"/>
        <v>243.07200000000003</v>
      </c>
      <c r="P209" s="235">
        <f t="shared" si="114"/>
        <v>366.67800000000005</v>
      </c>
      <c r="Q209" s="235">
        <f t="shared" si="114"/>
        <v>499.90200000000004</v>
      </c>
      <c r="R209" s="235">
        <f t="shared" si="114"/>
        <v>642.76800000000003</v>
      </c>
      <c r="S209" s="235">
        <f t="shared" si="114"/>
        <v>795.25</v>
      </c>
      <c r="T209" s="20"/>
      <c r="U209" s="20"/>
      <c r="V209" s="142"/>
      <c r="W209" s="141"/>
      <c r="X209" s="74"/>
      <c r="Y209" s="75"/>
      <c r="Z209" s="75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</row>
    <row r="210" spans="1:45" ht="15" customHeight="1">
      <c r="A210" s="20"/>
      <c r="B210" s="71"/>
      <c r="C210" s="20"/>
      <c r="D210" s="20"/>
      <c r="E210" s="195" t="s">
        <v>218</v>
      </c>
      <c r="F210" s="20"/>
      <c r="G210" s="20"/>
      <c r="H210" s="234" t="s">
        <v>52</v>
      </c>
      <c r="I210" s="66"/>
      <c r="J210" s="235">
        <f t="shared" ref="J210:S211" si="115">J217*J223</f>
        <v>0</v>
      </c>
      <c r="K210" s="235">
        <f t="shared" si="115"/>
        <v>0</v>
      </c>
      <c r="L210" s="235">
        <f t="shared" si="115"/>
        <v>0</v>
      </c>
      <c r="M210" s="235">
        <f t="shared" si="115"/>
        <v>0</v>
      </c>
      <c r="N210" s="235">
        <f t="shared" si="115"/>
        <v>2.8516666666666666</v>
      </c>
      <c r="O210" s="235">
        <f t="shared" si="115"/>
        <v>5.4959999999999996</v>
      </c>
      <c r="P210" s="235">
        <f t="shared" si="115"/>
        <v>7.9350000000000005</v>
      </c>
      <c r="Q210" s="235">
        <f t="shared" si="115"/>
        <v>10.174666666666667</v>
      </c>
      <c r="R210" s="235">
        <f t="shared" si="115"/>
        <v>12.218333333333332</v>
      </c>
      <c r="S210" s="235">
        <f t="shared" si="115"/>
        <v>14.076000000000001</v>
      </c>
      <c r="T210" s="20"/>
      <c r="U210" s="20"/>
      <c r="V210" s="142"/>
      <c r="W210" s="141"/>
      <c r="X210" s="74"/>
      <c r="Y210" s="75"/>
      <c r="Z210" s="75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</row>
    <row r="211" spans="1:45" ht="15.75" customHeight="1">
      <c r="A211" s="20"/>
      <c r="B211" s="71"/>
      <c r="C211" s="20"/>
      <c r="D211" s="20"/>
      <c r="E211" s="195" t="s">
        <v>219</v>
      </c>
      <c r="F211" s="20"/>
      <c r="G211" s="20"/>
      <c r="H211" s="234" t="s">
        <v>52</v>
      </c>
      <c r="I211" s="66"/>
      <c r="J211" s="235">
        <f t="shared" si="115"/>
        <v>0</v>
      </c>
      <c r="K211" s="235">
        <f t="shared" si="115"/>
        <v>0</v>
      </c>
      <c r="L211" s="235">
        <f t="shared" si="115"/>
        <v>0</v>
      </c>
      <c r="M211" s="235">
        <f t="shared" si="115"/>
        <v>0</v>
      </c>
      <c r="N211" s="235">
        <f t="shared" si="115"/>
        <v>0</v>
      </c>
      <c r="O211" s="235">
        <f t="shared" si="115"/>
        <v>0</v>
      </c>
      <c r="P211" s="235">
        <f t="shared" si="115"/>
        <v>0</v>
      </c>
      <c r="Q211" s="235">
        <f t="shared" si="115"/>
        <v>0</v>
      </c>
      <c r="R211" s="235">
        <f t="shared" si="115"/>
        <v>0</v>
      </c>
      <c r="S211" s="235">
        <f t="shared" si="115"/>
        <v>0</v>
      </c>
      <c r="T211" s="20"/>
      <c r="U211" s="20"/>
      <c r="V211" s="142"/>
      <c r="W211" s="141"/>
      <c r="X211" s="74"/>
      <c r="Y211" s="75"/>
      <c r="Z211" s="75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</row>
    <row r="212" spans="1:45" ht="15" customHeight="1">
      <c r="A212" s="20"/>
      <c r="B212" s="71"/>
      <c r="C212" s="20"/>
      <c r="D212" s="203"/>
      <c r="E212" s="195"/>
      <c r="F212" s="20"/>
      <c r="G212" s="20"/>
      <c r="H212" s="234"/>
      <c r="I212" s="66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20"/>
      <c r="U212" s="20"/>
      <c r="V212" s="142"/>
      <c r="W212" s="141"/>
      <c r="X212" s="74"/>
      <c r="Y212" s="75"/>
      <c r="Z212" s="75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</row>
    <row r="213" spans="1:45" ht="15" customHeight="1">
      <c r="A213" s="20"/>
      <c r="B213" s="71"/>
      <c r="C213" s="20"/>
      <c r="D213" s="203" t="s">
        <v>221</v>
      </c>
      <c r="E213" s="195"/>
      <c r="F213" s="20"/>
      <c r="G213" s="20"/>
      <c r="H213" s="234" t="s">
        <v>52</v>
      </c>
      <c r="I213" s="66"/>
      <c r="J213" s="235">
        <f t="shared" ref="J213:S213" si="116">SUM(J214:J217)</f>
        <v>36570</v>
      </c>
      <c r="K213" s="235">
        <f t="shared" si="116"/>
        <v>36976</v>
      </c>
      <c r="L213" s="235">
        <f t="shared" si="116"/>
        <v>38355</v>
      </c>
      <c r="M213" s="235">
        <f t="shared" si="116"/>
        <v>39221</v>
      </c>
      <c r="N213" s="235">
        <f t="shared" si="116"/>
        <v>40332</v>
      </c>
      <c r="O213" s="235">
        <f t="shared" si="116"/>
        <v>41455</v>
      </c>
      <c r="P213" s="235">
        <f t="shared" si="116"/>
        <v>42592</v>
      </c>
      <c r="Q213" s="235">
        <f t="shared" si="116"/>
        <v>43740</v>
      </c>
      <c r="R213" s="235">
        <f t="shared" si="116"/>
        <v>44897</v>
      </c>
      <c r="S213" s="235">
        <f t="shared" si="116"/>
        <v>46065</v>
      </c>
      <c r="T213" s="20"/>
      <c r="U213" s="20"/>
      <c r="V213" s="142"/>
      <c r="W213" s="141"/>
      <c r="X213" s="74"/>
      <c r="Y213" s="75"/>
      <c r="Z213" s="75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</row>
    <row r="214" spans="1:45" ht="15" customHeight="1">
      <c r="A214" s="20"/>
      <c r="B214" s="71"/>
      <c r="C214" s="20"/>
      <c r="D214" s="20"/>
      <c r="E214" s="195" t="s">
        <v>216</v>
      </c>
      <c r="F214" s="20"/>
      <c r="G214" s="20"/>
      <c r="H214" s="234" t="s">
        <v>52</v>
      </c>
      <c r="I214" s="66"/>
      <c r="J214" s="237">
        <v>3275</v>
      </c>
      <c r="K214" s="237">
        <v>3523</v>
      </c>
      <c r="L214" s="237">
        <v>3855</v>
      </c>
      <c r="M214" s="237">
        <v>4150</v>
      </c>
      <c r="N214" s="237">
        <v>4436</v>
      </c>
      <c r="O214" s="237">
        <v>4726</v>
      </c>
      <c r="P214" s="237">
        <v>5020</v>
      </c>
      <c r="Q214" s="237">
        <v>5316</v>
      </c>
      <c r="R214" s="237">
        <v>5614</v>
      </c>
      <c r="S214" s="237">
        <v>5914</v>
      </c>
      <c r="T214" s="20"/>
      <c r="U214" s="20"/>
      <c r="V214" s="142"/>
      <c r="W214" s="141"/>
      <c r="X214" s="74"/>
      <c r="Y214" s="75" t="s">
        <v>222</v>
      </c>
      <c r="Z214" s="75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</row>
    <row r="215" spans="1:45" ht="15" customHeight="1">
      <c r="A215" s="20"/>
      <c r="B215" s="71"/>
      <c r="C215" s="20"/>
      <c r="D215" s="20"/>
      <c r="E215" s="195" t="s">
        <v>217</v>
      </c>
      <c r="F215" s="20"/>
      <c r="G215" s="20"/>
      <c r="H215" s="234" t="s">
        <v>52</v>
      </c>
      <c r="I215" s="66"/>
      <c r="J215" s="237">
        <v>10848</v>
      </c>
      <c r="K215" s="237">
        <v>11145</v>
      </c>
      <c r="L215" s="237">
        <v>11946</v>
      </c>
      <c r="M215" s="237">
        <v>12315</v>
      </c>
      <c r="N215" s="237">
        <v>12908</v>
      </c>
      <c r="O215" s="237">
        <v>13504</v>
      </c>
      <c r="P215" s="237">
        <v>14103</v>
      </c>
      <c r="Q215" s="237">
        <v>14703</v>
      </c>
      <c r="R215" s="237">
        <v>15304</v>
      </c>
      <c r="S215" s="237">
        <v>15905</v>
      </c>
      <c r="T215" s="20"/>
      <c r="U215" s="20"/>
      <c r="V215" s="142"/>
      <c r="W215" s="141"/>
      <c r="X215" s="74"/>
      <c r="Y215" s="75" t="s">
        <v>222</v>
      </c>
      <c r="Z215" s="75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</row>
    <row r="216" spans="1:45" ht="15" customHeight="1">
      <c r="A216" s="20"/>
      <c r="B216" s="71"/>
      <c r="C216" s="20"/>
      <c r="D216" s="20"/>
      <c r="E216" s="195" t="s">
        <v>218</v>
      </c>
      <c r="F216" s="20"/>
      <c r="G216" s="20"/>
      <c r="H216" s="234" t="s">
        <v>52</v>
      </c>
      <c r="I216" s="66"/>
      <c r="J216" s="237">
        <v>12649</v>
      </c>
      <c r="K216" s="237">
        <v>12815</v>
      </c>
      <c r="L216" s="237">
        <v>13252</v>
      </c>
      <c r="M216" s="237">
        <v>13888</v>
      </c>
      <c r="N216" s="237">
        <v>14433</v>
      </c>
      <c r="O216" s="237">
        <v>14981</v>
      </c>
      <c r="P216" s="237">
        <v>15534</v>
      </c>
      <c r="Q216" s="237">
        <v>16090</v>
      </c>
      <c r="R216" s="237">
        <v>16648</v>
      </c>
      <c r="S216" s="237">
        <v>17208</v>
      </c>
      <c r="T216" s="238"/>
      <c r="U216" s="20"/>
      <c r="V216" s="142"/>
      <c r="W216" s="141"/>
      <c r="X216" s="74"/>
      <c r="Y216" s="75" t="s">
        <v>222</v>
      </c>
      <c r="Z216" s="75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</row>
    <row r="217" spans="1:45" ht="15" customHeight="1">
      <c r="A217" s="20"/>
      <c r="B217" s="71"/>
      <c r="C217" s="20"/>
      <c r="D217" s="20"/>
      <c r="E217" s="195" t="s">
        <v>219</v>
      </c>
      <c r="F217" s="20"/>
      <c r="G217" s="20"/>
      <c r="H217" s="234" t="s">
        <v>52</v>
      </c>
      <c r="I217" s="66"/>
      <c r="J217" s="237">
        <v>9798</v>
      </c>
      <c r="K217" s="237">
        <v>9493</v>
      </c>
      <c r="L217" s="237">
        <v>9302</v>
      </c>
      <c r="M217" s="237">
        <v>8868</v>
      </c>
      <c r="N217" s="237">
        <v>8555</v>
      </c>
      <c r="O217" s="237">
        <v>8244</v>
      </c>
      <c r="P217" s="237">
        <v>7935</v>
      </c>
      <c r="Q217" s="237">
        <v>7631</v>
      </c>
      <c r="R217" s="237">
        <v>7331</v>
      </c>
      <c r="S217" s="237">
        <v>7038</v>
      </c>
      <c r="T217" s="20"/>
      <c r="U217" s="20"/>
      <c r="V217" s="142"/>
      <c r="W217" s="141"/>
      <c r="X217" s="74"/>
      <c r="Y217" s="75" t="s">
        <v>222</v>
      </c>
      <c r="Z217" s="75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</row>
    <row r="218" spans="1:45" ht="15.75" customHeight="1">
      <c r="A218" s="20"/>
      <c r="B218" s="71"/>
      <c r="C218" s="20"/>
      <c r="D218" s="20"/>
      <c r="E218" s="20"/>
      <c r="F218" s="20"/>
      <c r="G218" s="20"/>
      <c r="H218" s="66"/>
      <c r="I218" s="66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142"/>
      <c r="W218" s="141"/>
      <c r="X218" s="74"/>
      <c r="Y218" s="75"/>
      <c r="Z218" s="75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</row>
    <row r="219" spans="1:45" ht="15" customHeight="1">
      <c r="A219" s="20"/>
      <c r="B219" s="71"/>
      <c r="C219" s="20"/>
      <c r="D219" s="203" t="s">
        <v>175</v>
      </c>
      <c r="E219" s="20"/>
      <c r="F219" s="20"/>
      <c r="G219" s="20"/>
      <c r="H219" s="66"/>
      <c r="I219" s="66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142"/>
      <c r="W219" s="141"/>
      <c r="X219" s="74"/>
      <c r="Y219" s="75"/>
      <c r="Z219" s="75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</row>
    <row r="220" spans="1:45" ht="15" customHeight="1">
      <c r="A220" s="20"/>
      <c r="B220" s="71"/>
      <c r="C220" s="20"/>
      <c r="D220" s="20"/>
      <c r="E220" s="195" t="s">
        <v>216</v>
      </c>
      <c r="F220" s="20"/>
      <c r="G220" s="20"/>
      <c r="H220" s="66" t="s">
        <v>69</v>
      </c>
      <c r="I220" s="66"/>
      <c r="J220" s="198">
        <v>0.01</v>
      </c>
      <c r="K220" s="198">
        <v>2.5000000000000001E-2</v>
      </c>
      <c r="L220" s="198">
        <v>0.05</v>
      </c>
      <c r="M220" s="198">
        <v>0.1</v>
      </c>
      <c r="N220" s="83">
        <v>0.13</v>
      </c>
      <c r="O220" s="83">
        <f t="shared" ref="O220:R220" si="117">N220+($S220-$N220)/5</f>
        <v>0.154</v>
      </c>
      <c r="P220" s="83">
        <f t="shared" si="117"/>
        <v>0.17799999999999999</v>
      </c>
      <c r="Q220" s="83">
        <f t="shared" si="117"/>
        <v>0.20199999999999999</v>
      </c>
      <c r="R220" s="83">
        <f t="shared" si="117"/>
        <v>0.22599999999999998</v>
      </c>
      <c r="S220" s="198">
        <v>0.25</v>
      </c>
      <c r="T220" s="20"/>
      <c r="U220" s="20"/>
      <c r="V220" s="142"/>
      <c r="W220" s="141"/>
      <c r="X220" s="74"/>
      <c r="Y220" s="75"/>
      <c r="Z220" s="75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</row>
    <row r="221" spans="1:45" ht="15" customHeight="1">
      <c r="A221" s="20"/>
      <c r="B221" s="71"/>
      <c r="C221" s="20"/>
      <c r="D221" s="20"/>
      <c r="E221" s="195" t="s">
        <v>217</v>
      </c>
      <c r="F221" s="20"/>
      <c r="G221" s="20"/>
      <c r="H221" s="66" t="s">
        <v>69</v>
      </c>
      <c r="I221" s="66"/>
      <c r="J221" s="198">
        <v>0</v>
      </c>
      <c r="K221" s="83">
        <f t="shared" ref="K221:L223" si="118">J221+($M221-$J221)/3</f>
        <v>6.6666666666666664E-4</v>
      </c>
      <c r="L221" s="83">
        <f t="shared" si="118"/>
        <v>1.3333333333333333E-3</v>
      </c>
      <c r="M221" s="198">
        <v>2E-3</v>
      </c>
      <c r="N221" s="83">
        <f t="shared" ref="N221:R223" si="119">M221+($S221-$M221)/6</f>
        <v>0.01</v>
      </c>
      <c r="O221" s="83">
        <f t="shared" si="119"/>
        <v>1.8000000000000002E-2</v>
      </c>
      <c r="P221" s="83">
        <f t="shared" si="119"/>
        <v>2.6000000000000002E-2</v>
      </c>
      <c r="Q221" s="83">
        <f t="shared" si="119"/>
        <v>3.4000000000000002E-2</v>
      </c>
      <c r="R221" s="83">
        <f t="shared" si="119"/>
        <v>4.2000000000000003E-2</v>
      </c>
      <c r="S221" s="198">
        <v>0.05</v>
      </c>
      <c r="T221" s="20"/>
      <c r="U221" s="20"/>
      <c r="V221" s="142"/>
      <c r="W221" s="141"/>
      <c r="X221" s="74"/>
      <c r="Y221" s="75"/>
      <c r="Z221" s="75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</row>
    <row r="222" spans="1:45" ht="15" customHeight="1">
      <c r="A222" s="20"/>
      <c r="B222" s="71"/>
      <c r="C222" s="20"/>
      <c r="D222" s="20"/>
      <c r="E222" s="195" t="s">
        <v>218</v>
      </c>
      <c r="F222" s="20"/>
      <c r="G222" s="20"/>
      <c r="H222" s="66" t="s">
        <v>69</v>
      </c>
      <c r="I222" s="66"/>
      <c r="J222" s="198">
        <v>0</v>
      </c>
      <c r="K222" s="83">
        <f t="shared" si="118"/>
        <v>0</v>
      </c>
      <c r="L222" s="83">
        <f t="shared" si="118"/>
        <v>0</v>
      </c>
      <c r="M222" s="198">
        <v>0</v>
      </c>
      <c r="N222" s="83">
        <f t="shared" si="119"/>
        <v>3.3333333333333335E-3</v>
      </c>
      <c r="O222" s="83">
        <f t="shared" si="119"/>
        <v>6.6666666666666671E-3</v>
      </c>
      <c r="P222" s="83">
        <f t="shared" si="119"/>
        <v>0.01</v>
      </c>
      <c r="Q222" s="83">
        <f t="shared" si="119"/>
        <v>1.3333333333333334E-2</v>
      </c>
      <c r="R222" s="83">
        <f t="shared" si="119"/>
        <v>1.6666666666666666E-2</v>
      </c>
      <c r="S222" s="198">
        <v>0.02</v>
      </c>
      <c r="T222" s="20"/>
      <c r="U222" s="20"/>
      <c r="V222" s="142"/>
      <c r="W222" s="141"/>
      <c r="X222" s="74"/>
      <c r="Y222" s="75"/>
      <c r="Z222" s="75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</row>
    <row r="223" spans="1:45" ht="15" customHeight="1">
      <c r="A223" s="20"/>
      <c r="B223" s="71"/>
      <c r="C223" s="20"/>
      <c r="D223" s="20"/>
      <c r="E223" s="195" t="s">
        <v>219</v>
      </c>
      <c r="F223" s="20"/>
      <c r="G223" s="20"/>
      <c r="H223" s="66" t="s">
        <v>69</v>
      </c>
      <c r="I223" s="66"/>
      <c r="J223" s="198">
        <v>0</v>
      </c>
      <c r="K223" s="83">
        <f t="shared" si="118"/>
        <v>0</v>
      </c>
      <c r="L223" s="83">
        <f t="shared" si="118"/>
        <v>0</v>
      </c>
      <c r="M223" s="198">
        <v>0</v>
      </c>
      <c r="N223" s="83">
        <f t="shared" si="119"/>
        <v>3.3333333333333332E-4</v>
      </c>
      <c r="O223" s="83">
        <f t="shared" si="119"/>
        <v>6.6666666666666664E-4</v>
      </c>
      <c r="P223" s="83">
        <f t="shared" si="119"/>
        <v>1E-3</v>
      </c>
      <c r="Q223" s="83">
        <f t="shared" si="119"/>
        <v>1.3333333333333333E-3</v>
      </c>
      <c r="R223" s="83">
        <f t="shared" si="119"/>
        <v>1.6666666666666666E-3</v>
      </c>
      <c r="S223" s="198">
        <v>2E-3</v>
      </c>
      <c r="T223" s="20"/>
      <c r="U223" s="20"/>
      <c r="V223" s="142"/>
      <c r="W223" s="141"/>
      <c r="X223" s="74"/>
      <c r="Y223" s="75"/>
      <c r="Z223" s="75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</row>
    <row r="224" spans="1:45" ht="15" customHeight="1">
      <c r="A224" s="20"/>
      <c r="B224" s="71"/>
      <c r="C224" s="20"/>
      <c r="D224" s="20"/>
      <c r="E224" s="20"/>
      <c r="F224" s="20"/>
      <c r="G224" s="20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20"/>
      <c r="U224" s="20"/>
      <c r="V224" s="142"/>
      <c r="W224" s="141"/>
      <c r="X224" s="74"/>
      <c r="Y224" s="75"/>
      <c r="Z224" s="75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</row>
    <row r="225" spans="1:45" ht="15" customHeight="1">
      <c r="A225" s="20"/>
      <c r="B225" s="71"/>
      <c r="C225" s="76" t="s">
        <v>223</v>
      </c>
      <c r="D225" s="203" t="s">
        <v>224</v>
      </c>
      <c r="E225" s="20"/>
      <c r="F225" s="20"/>
      <c r="G225" s="20"/>
      <c r="H225" s="66" t="s">
        <v>140</v>
      </c>
      <c r="I225" s="66"/>
      <c r="J225" s="239">
        <v>500</v>
      </c>
      <c r="K225" s="240">
        <f t="shared" ref="K225:L225" si="120">J225+($M225-$J225)/3</f>
        <v>466.66666666666669</v>
      </c>
      <c r="L225" s="240">
        <f t="shared" si="120"/>
        <v>433.33333333333337</v>
      </c>
      <c r="M225" s="239">
        <v>400</v>
      </c>
      <c r="N225" s="240">
        <f t="shared" ref="N225:R225" si="121">M225+($S225-$M225)/6</f>
        <v>425</v>
      </c>
      <c r="O225" s="240">
        <f t="shared" si="121"/>
        <v>450</v>
      </c>
      <c r="P225" s="240">
        <f t="shared" si="121"/>
        <v>475</v>
      </c>
      <c r="Q225" s="240">
        <f t="shared" si="121"/>
        <v>500</v>
      </c>
      <c r="R225" s="240">
        <f t="shared" si="121"/>
        <v>525</v>
      </c>
      <c r="S225" s="239">
        <v>550</v>
      </c>
      <c r="T225" s="20"/>
      <c r="U225" s="20"/>
      <c r="V225" s="142"/>
      <c r="W225" s="141"/>
      <c r="X225" s="74"/>
      <c r="Y225" s="75"/>
      <c r="Z225" s="75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</row>
    <row r="226" spans="1:45" ht="15.75" customHeight="1">
      <c r="A226" s="20"/>
      <c r="B226" s="71"/>
      <c r="C226" s="20"/>
      <c r="D226" s="241" t="s">
        <v>225</v>
      </c>
      <c r="E226" s="20"/>
      <c r="F226" s="20"/>
      <c r="G226" s="20"/>
      <c r="H226" s="66"/>
      <c r="I226" s="66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142"/>
      <c r="W226" s="141"/>
      <c r="X226" s="74"/>
      <c r="Y226" s="75"/>
      <c r="Z226" s="75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</row>
    <row r="227" spans="1:45" ht="15.75" customHeight="1">
      <c r="A227" s="20"/>
      <c r="B227" s="71"/>
      <c r="C227" s="20"/>
      <c r="D227" s="20" t="s">
        <v>226</v>
      </c>
      <c r="E227" s="20"/>
      <c r="F227" s="20"/>
      <c r="G227" s="20"/>
      <c r="H227" s="66"/>
      <c r="I227" s="66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142"/>
      <c r="W227" s="141"/>
      <c r="X227" s="74"/>
      <c r="Y227" s="167" t="s">
        <v>227</v>
      </c>
      <c r="Z227" s="75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</row>
    <row r="228" spans="1:45" ht="15.75" customHeight="1">
      <c r="A228" s="20"/>
      <c r="B228" s="71"/>
      <c r="C228" s="20"/>
      <c r="E228" s="20"/>
      <c r="F228" s="20"/>
      <c r="G228" s="20"/>
      <c r="H228" s="66"/>
      <c r="I228" s="66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142"/>
      <c r="W228" s="141"/>
      <c r="X228" s="74"/>
      <c r="Y228" s="75"/>
      <c r="Z228" s="75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</row>
    <row r="229" spans="1:45" ht="15" customHeight="1">
      <c r="A229" s="20"/>
      <c r="B229" s="232">
        <v>3.2</v>
      </c>
      <c r="C229" s="231" t="s">
        <v>228</v>
      </c>
      <c r="D229" s="20"/>
      <c r="E229" s="20"/>
      <c r="F229" s="20"/>
      <c r="G229" s="20"/>
      <c r="H229" s="66" t="s">
        <v>113</v>
      </c>
      <c r="I229" s="66"/>
      <c r="J229" s="84">
        <f t="shared" ref="J229:S229" si="122">J231*J242</f>
        <v>53.862690000000001</v>
      </c>
      <c r="K229" s="84">
        <f t="shared" si="122"/>
        <v>81.896101500000015</v>
      </c>
      <c r="L229" s="84">
        <f t="shared" si="122"/>
        <v>154.29371694444444</v>
      </c>
      <c r="M229" s="84">
        <f t="shared" si="122"/>
        <v>198.51894833333336</v>
      </c>
      <c r="N229" s="84">
        <f t="shared" si="122"/>
        <v>168.9539683779098</v>
      </c>
      <c r="O229" s="84">
        <f t="shared" si="122"/>
        <v>324.86220475000653</v>
      </c>
      <c r="P229" s="84">
        <f t="shared" si="122"/>
        <v>481.42640443735536</v>
      </c>
      <c r="Q229" s="84">
        <f t="shared" si="122"/>
        <v>637.12089116799643</v>
      </c>
      <c r="R229" s="84">
        <f t="shared" si="122"/>
        <v>790.37278001182472</v>
      </c>
      <c r="S229" s="84">
        <f t="shared" si="122"/>
        <v>939.77487419048452</v>
      </c>
      <c r="T229" s="20"/>
      <c r="U229" s="20"/>
      <c r="V229" s="142"/>
      <c r="W229" s="141"/>
      <c r="X229" s="74"/>
      <c r="Y229" s="75"/>
      <c r="Z229" s="75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</row>
    <row r="230" spans="1:45" ht="15" customHeight="1">
      <c r="A230" s="20"/>
      <c r="B230" s="232"/>
      <c r="C230" s="231"/>
      <c r="D230" s="20" t="s">
        <v>157</v>
      </c>
      <c r="E230" s="20"/>
      <c r="F230" s="20"/>
      <c r="G230" s="20"/>
      <c r="H230" s="66"/>
      <c r="I230" s="66"/>
      <c r="J230" s="20"/>
      <c r="K230" s="176">
        <f t="shared" ref="K230:S230" si="123">K229/J229-1</f>
        <v>0.52046066581524264</v>
      </c>
      <c r="L230" s="176">
        <f t="shared" si="123"/>
        <v>0.88401784844965325</v>
      </c>
      <c r="M230" s="176">
        <f t="shared" si="123"/>
        <v>0.28663015101783307</v>
      </c>
      <c r="N230" s="176">
        <f t="shared" si="123"/>
        <v>-0.14892774822573096</v>
      </c>
      <c r="O230" s="176">
        <f t="shared" si="123"/>
        <v>0.92278528802216186</v>
      </c>
      <c r="P230" s="176">
        <f t="shared" si="123"/>
        <v>0.4819403346961546</v>
      </c>
      <c r="Q230" s="176">
        <f t="shared" si="123"/>
        <v>0.32340246670226103</v>
      </c>
      <c r="R230" s="176">
        <f t="shared" si="123"/>
        <v>0.24053816311513598</v>
      </c>
      <c r="S230" s="176">
        <f t="shared" si="123"/>
        <v>0.18902737791200841</v>
      </c>
      <c r="T230" s="20"/>
      <c r="U230" s="20"/>
      <c r="V230" s="142"/>
      <c r="W230" s="141"/>
      <c r="X230" s="74"/>
      <c r="Y230" s="75"/>
      <c r="Z230" s="75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</row>
    <row r="231" spans="1:45" ht="15" customHeight="1">
      <c r="A231" s="20"/>
      <c r="B231" s="71"/>
      <c r="C231" s="231" t="s">
        <v>229</v>
      </c>
      <c r="D231" s="203" t="s">
        <v>230</v>
      </c>
      <c r="E231" s="20"/>
      <c r="F231" s="20"/>
      <c r="G231" s="20"/>
      <c r="H231" s="234" t="s">
        <v>117</v>
      </c>
      <c r="I231" s="66"/>
      <c r="J231" s="242">
        <f>J233</f>
        <v>3.590846</v>
      </c>
      <c r="K231" s="84">
        <f t="shared" ref="K231:S231" si="124">K233-J233</f>
        <v>5.7136815000000007</v>
      </c>
      <c r="L231" s="84">
        <f t="shared" si="124"/>
        <v>11.289784166666665</v>
      </c>
      <c r="M231" s="84">
        <f t="shared" si="124"/>
        <v>15.270688333333336</v>
      </c>
      <c r="N231" s="84">
        <f t="shared" si="124"/>
        <v>13.516317470232785</v>
      </c>
      <c r="O231" s="84">
        <f t="shared" si="124"/>
        <v>27.071850395833877</v>
      </c>
      <c r="P231" s="84">
        <f t="shared" si="124"/>
        <v>41.863165603248291</v>
      </c>
      <c r="Q231" s="84">
        <f t="shared" si="124"/>
        <v>57.920081015272402</v>
      </c>
      <c r="R231" s="84">
        <f t="shared" si="124"/>
        <v>75.273598096364253</v>
      </c>
      <c r="S231" s="84">
        <f t="shared" si="124"/>
        <v>93.977487419048458</v>
      </c>
      <c r="T231" s="20"/>
      <c r="U231" s="20"/>
      <c r="V231" s="142"/>
      <c r="W231" s="141"/>
      <c r="X231" s="74"/>
      <c r="Y231" s="75"/>
      <c r="Z231" s="75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</row>
    <row r="232" spans="1:45" ht="15.75" customHeight="1">
      <c r="A232" s="20"/>
      <c r="B232" s="71"/>
      <c r="C232" s="20"/>
      <c r="D232" s="20"/>
      <c r="E232" s="20" t="s">
        <v>157</v>
      </c>
      <c r="F232" s="20"/>
      <c r="G232" s="20"/>
      <c r="H232" s="66"/>
      <c r="I232" s="66"/>
      <c r="J232" s="20"/>
      <c r="K232" s="176">
        <f t="shared" ref="K232:S232" si="125">K231/J231-1</f>
        <v>0.59117976655083537</v>
      </c>
      <c r="L232" s="176">
        <f t="shared" si="125"/>
        <v>0.97592115813012392</v>
      </c>
      <c r="M232" s="176">
        <f t="shared" si="125"/>
        <v>0.35261118440336325</v>
      </c>
      <c r="N232" s="176">
        <f t="shared" si="125"/>
        <v>-0.11488485815476013</v>
      </c>
      <c r="O232" s="176">
        <f t="shared" si="125"/>
        <v>1.0029013416897516</v>
      </c>
      <c r="P232" s="176">
        <f t="shared" si="125"/>
        <v>0.54637252316120466</v>
      </c>
      <c r="Q232" s="176">
        <f t="shared" si="125"/>
        <v>0.38355712427963651</v>
      </c>
      <c r="R232" s="176">
        <f t="shared" si="125"/>
        <v>0.29961140897776128</v>
      </c>
      <c r="S232" s="176">
        <f t="shared" si="125"/>
        <v>0.24847874680760884</v>
      </c>
      <c r="T232" s="20"/>
      <c r="U232" s="20"/>
      <c r="V232" s="142"/>
      <c r="W232" s="141"/>
      <c r="X232" s="74"/>
      <c r="Y232" s="75"/>
      <c r="Z232" s="75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</row>
    <row r="233" spans="1:45" ht="15" customHeight="1">
      <c r="A233" s="20"/>
      <c r="B233" s="71"/>
      <c r="C233" s="20"/>
      <c r="D233" s="219" t="s">
        <v>231</v>
      </c>
      <c r="E233" s="20"/>
      <c r="F233" s="20"/>
      <c r="G233" s="20"/>
      <c r="H233" s="234" t="s">
        <v>117</v>
      </c>
      <c r="I233" s="66"/>
      <c r="J233" s="84">
        <f t="shared" ref="J233:S233" si="126">J235*J240</f>
        <v>3.590846</v>
      </c>
      <c r="K233" s="84">
        <f t="shared" si="126"/>
        <v>9.3045275000000007</v>
      </c>
      <c r="L233" s="84">
        <f t="shared" si="126"/>
        <v>20.594311666666666</v>
      </c>
      <c r="M233" s="84">
        <f t="shared" si="126"/>
        <v>35.865000000000002</v>
      </c>
      <c r="N233" s="84">
        <f t="shared" si="126"/>
        <v>49.381317470232787</v>
      </c>
      <c r="O233" s="84">
        <f t="shared" si="126"/>
        <v>76.453167866066664</v>
      </c>
      <c r="P233" s="84">
        <f t="shared" si="126"/>
        <v>118.31633346931496</v>
      </c>
      <c r="Q233" s="84">
        <f t="shared" si="126"/>
        <v>176.23641448458736</v>
      </c>
      <c r="R233" s="84">
        <f t="shared" si="126"/>
        <v>251.51001258095161</v>
      </c>
      <c r="S233" s="84">
        <f t="shared" si="126"/>
        <v>345.48750000000007</v>
      </c>
      <c r="T233" s="20"/>
      <c r="U233" s="20"/>
      <c r="V233" s="142"/>
      <c r="W233" s="141"/>
      <c r="X233" s="74"/>
      <c r="Y233" s="75"/>
      <c r="Z233" s="75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</row>
    <row r="234" spans="1:45" ht="15.75" customHeight="1">
      <c r="A234" s="20"/>
      <c r="B234" s="71"/>
      <c r="C234" s="20"/>
      <c r="D234" s="20"/>
      <c r="E234" s="20"/>
      <c r="F234" s="20"/>
      <c r="G234" s="20"/>
      <c r="H234" s="66"/>
      <c r="I234" s="66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142"/>
      <c r="W234" s="141"/>
      <c r="X234" s="74"/>
      <c r="Y234" s="75"/>
      <c r="Z234" s="75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</row>
    <row r="235" spans="1:45" ht="15" customHeight="1">
      <c r="A235" s="20"/>
      <c r="B235" s="71"/>
      <c r="C235" s="20"/>
      <c r="D235" s="203" t="s">
        <v>232</v>
      </c>
      <c r="E235" s="20"/>
      <c r="F235" s="20"/>
      <c r="G235" s="20"/>
      <c r="H235" s="234" t="s">
        <v>117</v>
      </c>
      <c r="I235" s="66"/>
      <c r="J235" s="243">
        <v>3590.846</v>
      </c>
      <c r="K235" s="243">
        <v>3721.8110000000001</v>
      </c>
      <c r="L235" s="240">
        <f>K235+($M235-$J235)/3</f>
        <v>4118.8623333333335</v>
      </c>
      <c r="M235" s="243">
        <v>4782</v>
      </c>
      <c r="N235" s="240">
        <f t="shared" ref="N235:S235" si="127">N238*N213/1000</f>
        <v>4938.1317470232789</v>
      </c>
      <c r="O235" s="240">
        <f t="shared" si="127"/>
        <v>5096.877857737777</v>
      </c>
      <c r="P235" s="240">
        <f t="shared" si="127"/>
        <v>5258.5037097473305</v>
      </c>
      <c r="Q235" s="240">
        <f t="shared" si="127"/>
        <v>5422.6589072180723</v>
      </c>
      <c r="R235" s="240">
        <f t="shared" si="127"/>
        <v>5589.1113906878127</v>
      </c>
      <c r="S235" s="240">
        <f t="shared" si="127"/>
        <v>5758.125</v>
      </c>
      <c r="T235" s="20"/>
      <c r="U235" s="20"/>
      <c r="V235" s="142"/>
      <c r="W235" s="141"/>
      <c r="X235" s="74"/>
      <c r="Y235" s="167" t="s">
        <v>233</v>
      </c>
      <c r="Z235" s="75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</row>
    <row r="236" spans="1:45" ht="15.75" customHeight="1">
      <c r="A236" s="20"/>
      <c r="B236" s="71"/>
      <c r="C236" s="20"/>
      <c r="D236" s="20"/>
      <c r="E236" s="244" t="s">
        <v>83</v>
      </c>
      <c r="F236" s="20"/>
      <c r="H236" s="66"/>
      <c r="I236" s="66"/>
      <c r="J236" s="20"/>
      <c r="K236" s="176">
        <f t="shared" ref="K236:S236" si="128">K235/J235-1</f>
        <v>3.647190662033406E-2</v>
      </c>
      <c r="L236" s="176">
        <f t="shared" si="128"/>
        <v>0.10668229346770519</v>
      </c>
      <c r="M236" s="176">
        <f t="shared" si="128"/>
        <v>0.16100020175474006</v>
      </c>
      <c r="N236" s="176">
        <f t="shared" si="128"/>
        <v>3.2649884362877302E-2</v>
      </c>
      <c r="O236" s="176">
        <f t="shared" si="128"/>
        <v>3.2146997862134929E-2</v>
      </c>
      <c r="P236" s="176">
        <f t="shared" si="128"/>
        <v>3.1710756372979043E-2</v>
      </c>
      <c r="Q236" s="176">
        <f t="shared" si="128"/>
        <v>3.1217092642999988E-2</v>
      </c>
      <c r="R236" s="176">
        <f t="shared" si="128"/>
        <v>3.0695731802008908E-2</v>
      </c>
      <c r="S236" s="176">
        <f t="shared" si="128"/>
        <v>3.0239799763838393E-2</v>
      </c>
      <c r="T236" s="20"/>
      <c r="U236" s="20"/>
      <c r="V236" s="142"/>
      <c r="W236" s="141"/>
      <c r="X236" s="74"/>
      <c r="Y236" s="75"/>
      <c r="Z236" s="75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</row>
    <row r="237" spans="1:45" ht="15" customHeight="1">
      <c r="A237" s="20"/>
      <c r="B237" s="71"/>
      <c r="C237" s="20"/>
      <c r="D237" s="203"/>
      <c r="E237" s="20"/>
      <c r="F237" s="20"/>
      <c r="G237" s="20"/>
      <c r="H237" s="66"/>
      <c r="I237" s="66"/>
      <c r="J237" s="245"/>
      <c r="K237" s="245"/>
      <c r="L237" s="245"/>
      <c r="M237" s="245"/>
      <c r="N237" s="66"/>
      <c r="O237" s="66"/>
      <c r="P237" s="66"/>
      <c r="Q237" s="66"/>
      <c r="R237" s="66"/>
      <c r="S237" s="66"/>
      <c r="T237" s="20"/>
      <c r="U237" s="20"/>
      <c r="V237" s="142"/>
      <c r="W237" s="141"/>
      <c r="X237" s="74"/>
      <c r="Y237" s="75"/>
      <c r="Z237" s="75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</row>
    <row r="238" spans="1:45" ht="15" customHeight="1">
      <c r="A238" s="20"/>
      <c r="B238" s="71"/>
      <c r="C238" s="20"/>
      <c r="D238" s="203" t="s">
        <v>234</v>
      </c>
      <c r="E238" s="20"/>
      <c r="F238" s="20"/>
      <c r="G238" s="20"/>
      <c r="H238" s="66"/>
      <c r="I238" s="66"/>
      <c r="J238" s="245">
        <f t="shared" ref="J238:M238" si="129">J235*1000/J213</f>
        <v>98.191030899644517</v>
      </c>
      <c r="K238" s="245">
        <f t="shared" si="129"/>
        <v>100.65477607096496</v>
      </c>
      <c r="L238" s="245">
        <f t="shared" si="129"/>
        <v>107.38788510841698</v>
      </c>
      <c r="M238" s="245">
        <f t="shared" si="129"/>
        <v>121.92447923306392</v>
      </c>
      <c r="N238" s="245">
        <f t="shared" ref="N238:R238" si="130">M238+($S238-$M238)/6</f>
        <v>122.43706602755327</v>
      </c>
      <c r="O238" s="245">
        <f t="shared" si="130"/>
        <v>122.94965282204262</v>
      </c>
      <c r="P238" s="245">
        <f t="shared" si="130"/>
        <v>123.46223961653197</v>
      </c>
      <c r="Q238" s="245">
        <f t="shared" si="130"/>
        <v>123.97482641102133</v>
      </c>
      <c r="R238" s="245">
        <f t="shared" si="130"/>
        <v>124.48741320551068</v>
      </c>
      <c r="S238" s="242">
        <v>125</v>
      </c>
      <c r="T238" s="20"/>
      <c r="U238" s="20"/>
      <c r="V238" s="142"/>
      <c r="W238" s="141"/>
      <c r="X238" s="74"/>
      <c r="Y238" s="75"/>
      <c r="Z238" s="75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</row>
    <row r="239" spans="1:45" ht="15" customHeight="1">
      <c r="A239" s="20"/>
      <c r="B239" s="71"/>
      <c r="C239" s="20"/>
      <c r="D239" s="203"/>
      <c r="E239" s="20"/>
      <c r="F239" s="20"/>
      <c r="G239" s="20"/>
      <c r="H239" s="66"/>
      <c r="I239" s="66"/>
      <c r="J239" s="66"/>
      <c r="K239" s="66"/>
      <c r="L239" s="66"/>
      <c r="M239" s="66"/>
      <c r="N239" s="66"/>
      <c r="O239" s="77"/>
      <c r="P239" s="77"/>
      <c r="Q239" s="77"/>
      <c r="R239" s="77"/>
      <c r="S239" s="77"/>
      <c r="T239" s="20"/>
      <c r="U239" s="20"/>
      <c r="V239" s="142"/>
      <c r="W239" s="141"/>
      <c r="X239" s="74"/>
      <c r="Y239" s="75"/>
      <c r="Z239" s="75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</row>
    <row r="240" spans="1:45" ht="15" customHeight="1">
      <c r="A240" s="20"/>
      <c r="B240" s="71"/>
      <c r="C240" s="20"/>
      <c r="D240" s="203" t="s">
        <v>175</v>
      </c>
      <c r="E240" s="20"/>
      <c r="F240" s="20"/>
      <c r="G240" s="20"/>
      <c r="H240" s="66" t="s">
        <v>69</v>
      </c>
      <c r="I240" s="66"/>
      <c r="J240" s="246">
        <v>1E-3</v>
      </c>
      <c r="K240" s="247">
        <v>2.5000000000000001E-3</v>
      </c>
      <c r="L240" s="247">
        <v>5.0000000000000001E-3</v>
      </c>
      <c r="M240" s="246">
        <v>7.4999999999999997E-3</v>
      </c>
      <c r="N240" s="191">
        <v>0.01</v>
      </c>
      <c r="O240" s="176">
        <f t="shared" ref="O240:S240" si="131">N240+O241</f>
        <v>1.5000000000000001E-2</v>
      </c>
      <c r="P240" s="176">
        <f t="shared" si="131"/>
        <v>2.2500000000000003E-2</v>
      </c>
      <c r="Q240" s="176">
        <f t="shared" si="131"/>
        <v>3.2500000000000001E-2</v>
      </c>
      <c r="R240" s="176">
        <f t="shared" si="131"/>
        <v>4.5000000000000005E-2</v>
      </c>
      <c r="S240" s="176">
        <f t="shared" si="131"/>
        <v>6.0000000000000012E-2</v>
      </c>
      <c r="T240" s="20"/>
      <c r="U240" s="20"/>
      <c r="V240" s="142"/>
      <c r="W240" s="141"/>
      <c r="X240" s="74"/>
      <c r="Y240" s="75"/>
      <c r="Z240" s="75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</row>
    <row r="241" spans="1:45" ht="15" customHeight="1">
      <c r="A241" s="20"/>
      <c r="B241" s="71"/>
      <c r="C241" s="20"/>
      <c r="D241" s="20"/>
      <c r="E241" s="20" t="s">
        <v>235</v>
      </c>
      <c r="F241" s="20"/>
      <c r="G241" s="20"/>
      <c r="H241" s="66"/>
      <c r="I241" s="66"/>
      <c r="J241" s="66"/>
      <c r="K241" s="248">
        <f t="shared" ref="K241:N241" si="132">K240-J240</f>
        <v>1.5E-3</v>
      </c>
      <c r="L241" s="248">
        <f t="shared" si="132"/>
        <v>2.5000000000000001E-3</v>
      </c>
      <c r="M241" s="248">
        <f t="shared" si="132"/>
        <v>2.4999999999999996E-3</v>
      </c>
      <c r="N241" s="248">
        <f t="shared" si="132"/>
        <v>2.5000000000000005E-3</v>
      </c>
      <c r="O241" s="248">
        <f t="shared" ref="O241:S241" si="133">N241+$U$241</f>
        <v>5.000000000000001E-3</v>
      </c>
      <c r="P241" s="248">
        <f t="shared" si="133"/>
        <v>7.5000000000000015E-3</v>
      </c>
      <c r="Q241" s="248">
        <f t="shared" si="133"/>
        <v>1.0000000000000002E-2</v>
      </c>
      <c r="R241" s="248">
        <f t="shared" si="133"/>
        <v>1.2500000000000002E-2</v>
      </c>
      <c r="S241" s="248">
        <f t="shared" si="133"/>
        <v>1.5000000000000003E-2</v>
      </c>
      <c r="T241" s="20"/>
      <c r="U241" s="176">
        <v>2.5000000000000001E-3</v>
      </c>
      <c r="V241" s="142"/>
      <c r="W241" s="141"/>
      <c r="X241" s="74"/>
      <c r="Y241" s="75"/>
      <c r="Z241" s="75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</row>
    <row r="242" spans="1:45" ht="15" customHeight="1">
      <c r="A242" s="20"/>
      <c r="B242" s="71"/>
      <c r="C242" s="76" t="s">
        <v>223</v>
      </c>
      <c r="D242" s="203" t="s">
        <v>236</v>
      </c>
      <c r="E242" s="20"/>
      <c r="F242" s="20"/>
      <c r="G242" s="20"/>
      <c r="H242" s="66" t="s">
        <v>140</v>
      </c>
      <c r="I242" s="66"/>
      <c r="J242" s="239">
        <v>15</v>
      </c>
      <c r="K242" s="240">
        <f t="shared" ref="K242:L242" si="134">J242+($M242-$J242)/3</f>
        <v>14.333333333333334</v>
      </c>
      <c r="L242" s="240">
        <f t="shared" si="134"/>
        <v>13.666666666666668</v>
      </c>
      <c r="M242" s="239">
        <v>13</v>
      </c>
      <c r="N242" s="240">
        <f t="shared" ref="N242:R242" si="135">M242+($S242-$M242)/6</f>
        <v>12.5</v>
      </c>
      <c r="O242" s="240">
        <f t="shared" si="135"/>
        <v>12</v>
      </c>
      <c r="P242" s="240">
        <f t="shared" si="135"/>
        <v>11.5</v>
      </c>
      <c r="Q242" s="240">
        <f t="shared" si="135"/>
        <v>11</v>
      </c>
      <c r="R242" s="240">
        <f t="shared" si="135"/>
        <v>10.5</v>
      </c>
      <c r="S242" s="239">
        <v>10</v>
      </c>
      <c r="T242" s="20"/>
      <c r="U242" s="20"/>
      <c r="V242" s="142"/>
      <c r="W242" s="141"/>
      <c r="X242" s="74"/>
      <c r="Y242" s="75"/>
      <c r="Z242" s="75" t="s">
        <v>237</v>
      </c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</row>
    <row r="243" spans="1:45" ht="15.75" customHeight="1">
      <c r="A243" s="20"/>
      <c r="B243" s="71"/>
      <c r="C243" s="20"/>
      <c r="D243" s="20"/>
      <c r="E243" s="20"/>
      <c r="F243" s="20"/>
      <c r="G243" s="20"/>
      <c r="H243" s="66"/>
      <c r="I243" s="66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142"/>
      <c r="W243" s="141"/>
      <c r="X243" s="74"/>
      <c r="Y243" s="75"/>
      <c r="Z243" s="75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</row>
    <row r="244" spans="1:45" ht="15" customHeight="1">
      <c r="A244" s="20"/>
      <c r="B244" s="71"/>
      <c r="C244" s="195" t="s">
        <v>96</v>
      </c>
      <c r="D244" s="20"/>
      <c r="E244" s="20"/>
      <c r="F244" s="20"/>
      <c r="G244" s="20"/>
      <c r="H244" s="66"/>
      <c r="I244" s="66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142"/>
      <c r="W244" s="141"/>
      <c r="X244" s="74"/>
      <c r="Y244" s="75"/>
      <c r="Z244" s="75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</row>
    <row r="245" spans="1:45" ht="15" customHeight="1">
      <c r="A245" s="20"/>
      <c r="B245" s="71"/>
      <c r="C245" s="195" t="s">
        <v>238</v>
      </c>
      <c r="D245" s="20"/>
      <c r="E245" s="20"/>
      <c r="F245" s="20"/>
      <c r="G245" s="20"/>
      <c r="H245" s="66"/>
      <c r="I245" s="66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142"/>
      <c r="W245" s="141"/>
      <c r="X245" s="74"/>
      <c r="Y245" s="75"/>
      <c r="Z245" s="75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</row>
    <row r="246" spans="1:45" ht="15.75" customHeight="1">
      <c r="A246" s="20"/>
      <c r="B246" s="71"/>
      <c r="C246" s="20"/>
      <c r="D246" s="20"/>
      <c r="E246" s="20"/>
      <c r="F246" s="20"/>
      <c r="G246" s="20"/>
      <c r="H246" s="66"/>
      <c r="I246" s="66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142"/>
      <c r="W246" s="141"/>
      <c r="X246" s="74"/>
      <c r="Y246" s="75"/>
      <c r="Z246" s="75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</row>
    <row r="247" spans="1:45" ht="15" customHeight="1">
      <c r="A247" s="20"/>
      <c r="B247" s="232">
        <v>3.3</v>
      </c>
      <c r="C247" s="231" t="s">
        <v>239</v>
      </c>
      <c r="D247" s="20"/>
      <c r="E247" s="20"/>
      <c r="F247" s="20"/>
      <c r="G247" s="20"/>
      <c r="H247" s="66" t="s">
        <v>113</v>
      </c>
      <c r="I247" s="66"/>
      <c r="J247" s="84">
        <f t="shared" ref="J247:S247" si="136">J249*J257</f>
        <v>8</v>
      </c>
      <c r="K247" s="84">
        <f t="shared" si="136"/>
        <v>9.8000000000000007</v>
      </c>
      <c r="L247" s="84">
        <f t="shared" si="136"/>
        <v>10.933333333333334</v>
      </c>
      <c r="M247" s="84">
        <f t="shared" si="136"/>
        <v>18.642857142857142</v>
      </c>
      <c r="N247" s="84">
        <f t="shared" si="136"/>
        <v>45.961904761904783</v>
      </c>
      <c r="O247" s="84">
        <f t="shared" si="136"/>
        <v>97.047619047619037</v>
      </c>
      <c r="P247" s="84">
        <f t="shared" si="136"/>
        <v>146.25000000000006</v>
      </c>
      <c r="Q247" s="84">
        <f t="shared" si="136"/>
        <v>184.85238095238086</v>
      </c>
      <c r="R247" s="84">
        <f t="shared" si="136"/>
        <v>210.61428571428576</v>
      </c>
      <c r="S247" s="84">
        <f t="shared" si="136"/>
        <v>221.25714285714295</v>
      </c>
      <c r="T247" s="20"/>
      <c r="U247" s="20"/>
      <c r="V247" s="68">
        <f>IFERROR(POWER(M247/J247,1/3)-1,"N.A.")</f>
        <v>0.3257882373566543</v>
      </c>
      <c r="W247" s="69">
        <f>IFERROR(POWER(S247/M247,1/6)-1,"N.A.")</f>
        <v>0.51030318427421828</v>
      </c>
      <c r="X247" s="74"/>
      <c r="Y247" s="75"/>
      <c r="Z247" s="75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</row>
    <row r="248" spans="1:45" ht="15" customHeight="1">
      <c r="A248" s="20"/>
      <c r="B248" s="232"/>
      <c r="C248" s="231"/>
      <c r="D248" s="20"/>
      <c r="E248" s="20"/>
      <c r="F248" s="20"/>
      <c r="G248" s="20"/>
      <c r="H248" s="66"/>
      <c r="I248" s="66"/>
      <c r="J248" s="20"/>
      <c r="K248" s="176">
        <f t="shared" ref="K248:S248" si="137">K247/J247-1</f>
        <v>0.22500000000000009</v>
      </c>
      <c r="L248" s="176">
        <f t="shared" si="137"/>
        <v>0.11564625850340127</v>
      </c>
      <c r="M248" s="176">
        <f t="shared" si="137"/>
        <v>0.70513937282229966</v>
      </c>
      <c r="N248" s="176">
        <f t="shared" si="137"/>
        <v>1.4653895274584943</v>
      </c>
      <c r="O248" s="176">
        <f t="shared" si="137"/>
        <v>1.1114794861168655</v>
      </c>
      <c r="P248" s="176">
        <f t="shared" si="137"/>
        <v>0.50699214916584956</v>
      </c>
      <c r="Q248" s="176">
        <f t="shared" si="137"/>
        <v>0.26394790394790268</v>
      </c>
      <c r="R248" s="176">
        <f t="shared" si="137"/>
        <v>0.13936474406862698</v>
      </c>
      <c r="S248" s="176">
        <f t="shared" si="137"/>
        <v>5.0532456080852217E-2</v>
      </c>
      <c r="T248" s="20"/>
      <c r="U248" s="20"/>
      <c r="V248" s="142"/>
      <c r="W248" s="141"/>
      <c r="X248" s="74"/>
      <c r="Y248" s="75"/>
      <c r="Z248" s="75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</row>
    <row r="249" spans="1:45" ht="15" customHeight="1">
      <c r="A249" s="20"/>
      <c r="B249" s="71"/>
      <c r="C249" s="231" t="s">
        <v>229</v>
      </c>
      <c r="D249" s="203" t="s">
        <v>240</v>
      </c>
      <c r="E249" s="20"/>
      <c r="F249" s="20"/>
      <c r="G249" s="20"/>
      <c r="H249" s="234" t="s">
        <v>117</v>
      </c>
      <c r="I249" s="66"/>
      <c r="J249" s="186">
        <f>J251</f>
        <v>0.04</v>
      </c>
      <c r="K249" s="84">
        <f t="shared" ref="K249:S249" si="138">K251-J251</f>
        <v>4.2000000000000003E-2</v>
      </c>
      <c r="L249" s="84">
        <f t="shared" si="138"/>
        <v>4.0999999999999995E-2</v>
      </c>
      <c r="M249" s="84">
        <f t="shared" si="138"/>
        <v>6.2142857142857139E-2</v>
      </c>
      <c r="N249" s="84">
        <f t="shared" si="138"/>
        <v>0.14514285714285721</v>
      </c>
      <c r="O249" s="84">
        <f t="shared" si="138"/>
        <v>0.29114285714285709</v>
      </c>
      <c r="P249" s="84">
        <f t="shared" si="138"/>
        <v>0.41785714285714293</v>
      </c>
      <c r="Q249" s="84">
        <f t="shared" si="138"/>
        <v>0.50414285714285678</v>
      </c>
      <c r="R249" s="84">
        <f t="shared" si="138"/>
        <v>0.54942857142857138</v>
      </c>
      <c r="S249" s="84">
        <f t="shared" si="138"/>
        <v>0.55314285714285738</v>
      </c>
      <c r="T249" s="20"/>
      <c r="U249" s="20"/>
      <c r="V249" s="68">
        <f>IFERROR(POWER(M249/J249,1/3)-1,"N.A.")</f>
        <v>0.15818270453194438</v>
      </c>
      <c r="W249" s="69">
        <f>IFERROR(POWER(S249/M249,1/6)-1,"N.A.")</f>
        <v>0.43959727291344275</v>
      </c>
      <c r="X249" s="74"/>
      <c r="Y249" s="75"/>
      <c r="Z249" s="75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</row>
    <row r="250" spans="1:45" ht="15.75" customHeight="1">
      <c r="A250" s="20"/>
      <c r="B250" s="71"/>
      <c r="C250" s="20"/>
      <c r="D250" s="20"/>
      <c r="E250" s="20"/>
      <c r="F250" s="20"/>
      <c r="G250" s="20"/>
      <c r="H250" s="66"/>
      <c r="I250" s="66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142"/>
      <c r="W250" s="141"/>
      <c r="X250" s="74"/>
      <c r="Y250" s="75"/>
      <c r="Z250" s="75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</row>
    <row r="251" spans="1:45" ht="15" customHeight="1">
      <c r="A251" s="20"/>
      <c r="B251" s="71"/>
      <c r="C251" s="20"/>
      <c r="D251" s="219" t="s">
        <v>241</v>
      </c>
      <c r="E251" s="20"/>
      <c r="F251" s="20"/>
      <c r="G251" s="20"/>
      <c r="H251" s="234" t="s">
        <v>117</v>
      </c>
      <c r="I251" s="66"/>
      <c r="J251" s="84">
        <f t="shared" ref="J251:S251" si="139">J253*J255</f>
        <v>0.04</v>
      </c>
      <c r="K251" s="84">
        <f t="shared" si="139"/>
        <v>8.2000000000000003E-2</v>
      </c>
      <c r="L251" s="84">
        <f t="shared" si="139"/>
        <v>0.123</v>
      </c>
      <c r="M251" s="84">
        <f t="shared" si="139"/>
        <v>0.18514285714285714</v>
      </c>
      <c r="N251" s="84">
        <f t="shared" si="139"/>
        <v>0.33028571428571435</v>
      </c>
      <c r="O251" s="84">
        <f t="shared" si="139"/>
        <v>0.62142857142857144</v>
      </c>
      <c r="P251" s="84">
        <f t="shared" si="139"/>
        <v>1.0392857142857144</v>
      </c>
      <c r="Q251" s="84">
        <f t="shared" si="139"/>
        <v>1.5434285714285711</v>
      </c>
      <c r="R251" s="84">
        <f t="shared" si="139"/>
        <v>2.0928571428571425</v>
      </c>
      <c r="S251" s="84">
        <f t="shared" si="139"/>
        <v>2.6459999999999999</v>
      </c>
      <c r="T251" s="20"/>
      <c r="U251" s="20"/>
      <c r="V251" s="142"/>
      <c r="W251" s="141"/>
      <c r="X251" s="74"/>
      <c r="Y251" s="75"/>
      <c r="Z251" s="75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</row>
    <row r="252" spans="1:45" ht="15.75" customHeight="1">
      <c r="A252" s="20"/>
      <c r="B252" s="71"/>
      <c r="C252" s="20"/>
      <c r="D252" s="20"/>
      <c r="E252" s="20"/>
      <c r="F252" s="20"/>
      <c r="G252" s="20"/>
      <c r="H252" s="66"/>
      <c r="I252" s="66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142"/>
      <c r="W252" s="141"/>
      <c r="X252" s="74"/>
      <c r="Y252" s="75"/>
      <c r="Z252" s="75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</row>
    <row r="253" spans="1:45" ht="15" customHeight="1">
      <c r="A253" s="20"/>
      <c r="B253" s="71"/>
      <c r="C253" s="20"/>
      <c r="D253" s="203" t="s">
        <v>242</v>
      </c>
      <c r="E253" s="20"/>
      <c r="F253" s="20"/>
      <c r="G253" s="20"/>
      <c r="H253" s="234" t="s">
        <v>117</v>
      </c>
      <c r="I253" s="66"/>
      <c r="J253" s="165">
        <v>40</v>
      </c>
      <c r="K253" s="166">
        <v>41</v>
      </c>
      <c r="L253" s="166">
        <v>41</v>
      </c>
      <c r="M253" s="84">
        <f>L253+($S$253-$L$253)/7</f>
        <v>41.142857142857146</v>
      </c>
      <c r="N253" s="84">
        <f t="shared" ref="N253:R253" si="140">M253+($S253-$M253)/6</f>
        <v>41.285714285714292</v>
      </c>
      <c r="O253" s="84">
        <f t="shared" si="140"/>
        <v>41.428571428571431</v>
      </c>
      <c r="P253" s="84">
        <f t="shared" si="140"/>
        <v>41.571428571428569</v>
      </c>
      <c r="Q253" s="84">
        <f t="shared" si="140"/>
        <v>41.714285714285708</v>
      </c>
      <c r="R253" s="84">
        <f t="shared" si="140"/>
        <v>41.857142857142847</v>
      </c>
      <c r="S253" s="186">
        <v>42</v>
      </c>
      <c r="T253" s="20"/>
      <c r="U253" s="20"/>
      <c r="V253" s="142"/>
      <c r="W253" s="141"/>
      <c r="X253" s="74"/>
      <c r="Y253" s="75"/>
      <c r="Z253" s="75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</row>
    <row r="254" spans="1:45" ht="15.75" customHeight="1">
      <c r="A254" s="20"/>
      <c r="B254" s="71"/>
      <c r="C254" s="20"/>
      <c r="D254" s="20"/>
      <c r="E254" s="20"/>
      <c r="F254" s="20"/>
      <c r="G254" s="20"/>
      <c r="H254" s="66"/>
      <c r="I254" s="66"/>
      <c r="J254" s="20"/>
      <c r="K254" s="83">
        <f t="shared" ref="K254:S254" si="141">K253/J253-1</f>
        <v>2.4999999999999911E-2</v>
      </c>
      <c r="L254" s="83">
        <f t="shared" si="141"/>
        <v>0</v>
      </c>
      <c r="M254" s="83">
        <f t="shared" si="141"/>
        <v>3.4843205574912606E-3</v>
      </c>
      <c r="N254" s="83">
        <f t="shared" si="141"/>
        <v>3.4722222222223209E-3</v>
      </c>
      <c r="O254" s="83">
        <f t="shared" si="141"/>
        <v>3.4602076124565784E-3</v>
      </c>
      <c r="P254" s="83">
        <f t="shared" si="141"/>
        <v>3.4482758620688614E-3</v>
      </c>
      <c r="Q254" s="83">
        <f t="shared" si="141"/>
        <v>3.4364261168384758E-3</v>
      </c>
      <c r="R254" s="83">
        <f t="shared" si="141"/>
        <v>3.424657534246478E-3</v>
      </c>
      <c r="S254" s="83">
        <f t="shared" si="141"/>
        <v>3.4129692832767233E-3</v>
      </c>
      <c r="T254" s="20"/>
      <c r="U254" s="20"/>
      <c r="V254" s="142"/>
      <c r="W254" s="141"/>
      <c r="X254" s="74"/>
      <c r="Y254" s="75"/>
      <c r="Z254" s="75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</row>
    <row r="255" spans="1:45" ht="15" customHeight="1">
      <c r="A255" s="20"/>
      <c r="B255" s="71"/>
      <c r="C255" s="20"/>
      <c r="D255" s="203" t="s">
        <v>175</v>
      </c>
      <c r="E255" s="20"/>
      <c r="F255" s="20"/>
      <c r="G255" s="20"/>
      <c r="H255" s="66" t="s">
        <v>69</v>
      </c>
      <c r="I255" s="66"/>
      <c r="J255" s="198">
        <v>1E-3</v>
      </c>
      <c r="K255" s="83">
        <v>2E-3</v>
      </c>
      <c r="L255" s="83">
        <v>3.0000000000000001E-3</v>
      </c>
      <c r="M255" s="198">
        <v>4.4999999999999997E-3</v>
      </c>
      <c r="N255" s="202">
        <v>8.0000000000000002E-3</v>
      </c>
      <c r="O255" s="202">
        <v>1.4999999999999999E-2</v>
      </c>
      <c r="P255" s="202">
        <v>2.5000000000000001E-2</v>
      </c>
      <c r="Q255" s="202">
        <v>3.6999999999999998E-2</v>
      </c>
      <c r="R255" s="202">
        <v>0.05</v>
      </c>
      <c r="S255" s="78">
        <v>6.3E-2</v>
      </c>
      <c r="T255" s="20"/>
      <c r="U255" s="20"/>
      <c r="V255" s="142"/>
      <c r="W255" s="141"/>
      <c r="X255" s="74"/>
      <c r="Y255" s="75"/>
      <c r="Z255" s="75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</row>
    <row r="256" spans="1:45" ht="15" customHeight="1">
      <c r="A256" s="20"/>
      <c r="B256" s="71"/>
      <c r="C256" s="20"/>
      <c r="D256" s="20"/>
      <c r="E256" s="20"/>
      <c r="F256" s="20"/>
      <c r="G256" s="20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226"/>
      <c r="T256" s="20"/>
      <c r="U256" s="20"/>
      <c r="V256" s="142"/>
      <c r="W256" s="141"/>
      <c r="X256" s="74"/>
      <c r="Y256" s="75"/>
      <c r="Z256" s="75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</row>
    <row r="257" spans="1:45" ht="15" customHeight="1">
      <c r="A257" s="20"/>
      <c r="B257" s="71"/>
      <c r="C257" s="76" t="s">
        <v>223</v>
      </c>
      <c r="D257" s="203" t="s">
        <v>243</v>
      </c>
      <c r="E257" s="20"/>
      <c r="F257" s="20"/>
      <c r="G257" s="20"/>
      <c r="H257" s="66" t="s">
        <v>140</v>
      </c>
      <c r="I257" s="66"/>
      <c r="J257" s="186">
        <v>200</v>
      </c>
      <c r="K257" s="84">
        <f t="shared" ref="K257:L257" si="142">J257+($M257-$J257)/3</f>
        <v>233.33333333333334</v>
      </c>
      <c r="L257" s="84">
        <f t="shared" si="142"/>
        <v>266.66666666666669</v>
      </c>
      <c r="M257" s="186">
        <v>300</v>
      </c>
      <c r="N257" s="84">
        <f t="shared" ref="N257:R257" si="143">M257+($S257-$M257)/6</f>
        <v>316.66666666666669</v>
      </c>
      <c r="O257" s="84">
        <f t="shared" si="143"/>
        <v>333.33333333333337</v>
      </c>
      <c r="P257" s="84">
        <f t="shared" si="143"/>
        <v>350.00000000000006</v>
      </c>
      <c r="Q257" s="84">
        <f t="shared" si="143"/>
        <v>366.66666666666674</v>
      </c>
      <c r="R257" s="84">
        <f t="shared" si="143"/>
        <v>383.33333333333343</v>
      </c>
      <c r="S257" s="186">
        <v>400</v>
      </c>
      <c r="T257" s="20"/>
      <c r="U257" s="20"/>
      <c r="V257" s="142"/>
      <c r="W257" s="141"/>
      <c r="X257" s="74"/>
      <c r="Y257" s="75"/>
      <c r="Z257" s="75" t="s">
        <v>237</v>
      </c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</row>
    <row r="258" spans="1:45" ht="15.75" customHeight="1">
      <c r="A258" s="20"/>
      <c r="B258" s="71"/>
      <c r="C258" s="20"/>
      <c r="D258" s="20"/>
      <c r="E258" s="20"/>
      <c r="F258" s="20"/>
      <c r="G258" s="20"/>
      <c r="H258" s="66"/>
      <c r="I258" s="66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142"/>
      <c r="W258" s="141"/>
      <c r="X258" s="74"/>
      <c r="Y258" s="75"/>
      <c r="Z258" s="75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</row>
    <row r="259" spans="1:45" ht="15" customHeight="1">
      <c r="A259" s="20"/>
      <c r="B259" s="71"/>
      <c r="C259" s="203" t="s">
        <v>96</v>
      </c>
      <c r="D259" s="20"/>
      <c r="E259" s="20"/>
      <c r="F259" s="20"/>
      <c r="G259" s="20"/>
      <c r="H259" s="66"/>
      <c r="I259" s="66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142"/>
      <c r="W259" s="141"/>
      <c r="X259" s="74"/>
      <c r="Y259" s="75"/>
      <c r="Z259" s="75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</row>
    <row r="260" spans="1:45" ht="15" customHeight="1">
      <c r="A260" s="20"/>
      <c r="B260" s="71"/>
      <c r="C260" s="195" t="s">
        <v>244</v>
      </c>
      <c r="D260" s="20"/>
      <c r="E260" s="20"/>
      <c r="F260" s="20"/>
      <c r="G260" s="20"/>
      <c r="H260" s="66"/>
      <c r="I260" s="66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142"/>
      <c r="W260" s="141"/>
      <c r="X260" s="74"/>
      <c r="Y260" s="75"/>
      <c r="Z260" s="75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</row>
    <row r="261" spans="1:45" ht="15.75" customHeight="1">
      <c r="A261" s="20"/>
      <c r="B261" s="71"/>
      <c r="C261" s="20"/>
      <c r="D261" s="20"/>
      <c r="E261" s="20"/>
      <c r="F261" s="20"/>
      <c r="G261" s="20"/>
      <c r="H261" s="66"/>
      <c r="I261" s="66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142"/>
      <c r="W261" s="141"/>
      <c r="X261" s="74"/>
      <c r="Y261" s="75"/>
      <c r="Z261" s="75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</row>
    <row r="262" spans="1:45" ht="15" customHeight="1">
      <c r="A262" s="156"/>
      <c r="B262" s="157">
        <v>5</v>
      </c>
      <c r="C262" s="218" t="s">
        <v>245</v>
      </c>
      <c r="D262" s="156"/>
      <c r="E262" s="156"/>
      <c r="F262" s="156"/>
      <c r="G262" s="156"/>
      <c r="H262" s="159"/>
      <c r="I262" s="159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60"/>
      <c r="W262" s="161"/>
      <c r="X262" s="162"/>
      <c r="Y262" s="163"/>
      <c r="Z262" s="163"/>
      <c r="AA262" s="156"/>
      <c r="AB262" s="156"/>
      <c r="AC262" s="156"/>
      <c r="AD262" s="156"/>
      <c r="AE262" s="156"/>
      <c r="AF262" s="156"/>
      <c r="AG262" s="156"/>
      <c r="AH262" s="156"/>
      <c r="AI262" s="156"/>
      <c r="AJ262" s="156"/>
      <c r="AK262" s="156"/>
      <c r="AL262" s="156"/>
      <c r="AM262" s="156"/>
      <c r="AN262" s="156"/>
      <c r="AO262" s="156"/>
      <c r="AP262" s="156"/>
      <c r="AQ262" s="156"/>
      <c r="AR262" s="156"/>
      <c r="AS262" s="156"/>
    </row>
    <row r="263" spans="1:45" ht="15.75" customHeight="1">
      <c r="A263" s="20"/>
      <c r="B263" s="71"/>
      <c r="C263" s="20"/>
      <c r="D263" s="20"/>
      <c r="E263" s="20"/>
      <c r="F263" s="20"/>
      <c r="G263" s="20"/>
      <c r="H263" s="66"/>
      <c r="I263" s="66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142"/>
      <c r="W263" s="141"/>
      <c r="X263" s="74"/>
      <c r="Y263" s="75"/>
      <c r="Z263" s="75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</row>
    <row r="264" spans="1:45" ht="15" customHeight="1">
      <c r="A264" s="20"/>
      <c r="B264" s="71">
        <v>5</v>
      </c>
      <c r="C264" s="249" t="s">
        <v>245</v>
      </c>
      <c r="D264" s="20"/>
      <c r="E264" s="20"/>
      <c r="F264" s="20"/>
      <c r="G264" s="20"/>
      <c r="H264" s="66" t="s">
        <v>113</v>
      </c>
      <c r="I264" s="66"/>
      <c r="J264" s="250">
        <f t="shared" ref="J264:S264" si="144">SUM(J265:J266)</f>
        <v>51.453000000000003</v>
      </c>
      <c r="K264" s="250">
        <f t="shared" si="144"/>
        <v>82.908066666666656</v>
      </c>
      <c r="L264" s="250">
        <f t="shared" si="144"/>
        <v>129.81524999999999</v>
      </c>
      <c r="M264" s="250">
        <f t="shared" si="144"/>
        <v>255.93323999999998</v>
      </c>
      <c r="N264" s="250">
        <f t="shared" si="144"/>
        <v>306.9247542343536</v>
      </c>
      <c r="O264" s="250">
        <f t="shared" si="144"/>
        <v>602.77210768750751</v>
      </c>
      <c r="P264" s="250">
        <f t="shared" si="144"/>
        <v>771.50440458261471</v>
      </c>
      <c r="Q264" s="250">
        <f t="shared" si="144"/>
        <v>938.62898001200631</v>
      </c>
      <c r="R264" s="250">
        <f t="shared" si="144"/>
        <v>1101.4559656494998</v>
      </c>
      <c r="S264" s="250">
        <f t="shared" si="144"/>
        <v>1257.3213467611597</v>
      </c>
      <c r="T264" s="20"/>
      <c r="U264" s="20"/>
      <c r="V264" s="68">
        <f t="shared" ref="V264:V266" si="145">IFERROR(POWER(M264/J264,1/3)-1,"N.A.")</f>
        <v>0.70702021564573392</v>
      </c>
      <c r="W264" s="69">
        <f t="shared" ref="W264:W266" si="146">IFERROR(POWER(S264/M264,1/6)-1,"N.A.")</f>
        <v>0.30382688625011811</v>
      </c>
      <c r="X264" s="74"/>
      <c r="Y264" s="75"/>
      <c r="Z264" s="75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</row>
    <row r="265" spans="1:45" ht="15" customHeight="1">
      <c r="A265" s="20"/>
      <c r="B265" s="71"/>
      <c r="C265" s="20"/>
      <c r="D265" s="23" t="s">
        <v>246</v>
      </c>
      <c r="E265" s="20"/>
      <c r="F265" s="20"/>
      <c r="G265" s="20"/>
      <c r="H265" s="66" t="s">
        <v>113</v>
      </c>
      <c r="I265" s="66"/>
      <c r="J265" s="116">
        <f t="shared" ref="J265:S265" si="147">J268</f>
        <v>42.417000000000002</v>
      </c>
      <c r="K265" s="116">
        <f t="shared" si="147"/>
        <v>72.862066666666664</v>
      </c>
      <c r="L265" s="116">
        <f t="shared" si="147"/>
        <v>118.73599999999999</v>
      </c>
      <c r="M265" s="116">
        <f t="shared" si="147"/>
        <v>241.56023999999999</v>
      </c>
      <c r="N265" s="116">
        <f t="shared" si="147"/>
        <v>289.84832393398494</v>
      </c>
      <c r="O265" s="116">
        <f t="shared" si="147"/>
        <v>582.81820359611993</v>
      </c>
      <c r="P265" s="116">
        <f t="shared" si="147"/>
        <v>748.5030038051957</v>
      </c>
      <c r="Q265" s="116">
        <f t="shared" si="147"/>
        <v>912.41414745695943</v>
      </c>
      <c r="R265" s="116">
        <f t="shared" si="147"/>
        <v>1071.8658785259852</v>
      </c>
      <c r="S265" s="116">
        <f t="shared" si="147"/>
        <v>1224.1982814724342</v>
      </c>
      <c r="T265" s="20"/>
      <c r="U265" s="20"/>
      <c r="V265" s="68">
        <f t="shared" si="145"/>
        <v>0.78578224649828021</v>
      </c>
      <c r="W265" s="69">
        <f t="shared" si="146"/>
        <v>0.31060268146824477</v>
      </c>
      <c r="X265" s="74"/>
      <c r="Y265" s="75"/>
      <c r="Z265" s="75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</row>
    <row r="266" spans="1:45" ht="15" customHeight="1">
      <c r="A266" s="20"/>
      <c r="B266" s="71"/>
      <c r="C266" s="20"/>
      <c r="D266" s="23" t="s">
        <v>247</v>
      </c>
      <c r="E266" s="20"/>
      <c r="F266" s="20"/>
      <c r="G266" s="20"/>
      <c r="H266" s="66" t="s">
        <v>113</v>
      </c>
      <c r="I266" s="66"/>
      <c r="J266" s="116">
        <f t="shared" ref="J266:S266" si="148">J292</f>
        <v>9.0359999999999996</v>
      </c>
      <c r="K266" s="116">
        <f t="shared" si="148"/>
        <v>10.045999999999998</v>
      </c>
      <c r="L266" s="116">
        <f t="shared" si="148"/>
        <v>11.07925</v>
      </c>
      <c r="M266" s="116">
        <f t="shared" si="148"/>
        <v>14.373000000000003</v>
      </c>
      <c r="N266" s="116">
        <f t="shared" si="148"/>
        <v>17.076430300368681</v>
      </c>
      <c r="O266" s="116">
        <f t="shared" si="148"/>
        <v>19.953904091387592</v>
      </c>
      <c r="P266" s="116">
        <f t="shared" si="148"/>
        <v>23.00140077741905</v>
      </c>
      <c r="Q266" s="116">
        <f t="shared" si="148"/>
        <v>26.2148325550469</v>
      </c>
      <c r="R266" s="116">
        <f t="shared" si="148"/>
        <v>29.590087123514706</v>
      </c>
      <c r="S266" s="116">
        <f t="shared" si="148"/>
        <v>33.123065288725478</v>
      </c>
      <c r="T266" s="20"/>
      <c r="U266" s="20"/>
      <c r="V266" s="68">
        <f t="shared" si="145"/>
        <v>0.1673212757670679</v>
      </c>
      <c r="W266" s="69">
        <f t="shared" si="146"/>
        <v>0.14929234976709704</v>
      </c>
      <c r="X266" s="74"/>
      <c r="Y266" s="75"/>
      <c r="Z266" s="75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</row>
    <row r="267" spans="1:45" ht="15.75" customHeight="1">
      <c r="A267" s="20"/>
      <c r="B267" s="71"/>
      <c r="C267" s="20"/>
      <c r="D267" s="20"/>
      <c r="E267" s="20"/>
      <c r="F267" s="20"/>
      <c r="G267" s="20"/>
      <c r="H267" s="66"/>
      <c r="I267" s="66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142"/>
      <c r="W267" s="141"/>
      <c r="X267" s="74"/>
      <c r="Y267" s="75"/>
      <c r="Z267" s="75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</row>
    <row r="268" spans="1:45" ht="15" customHeight="1">
      <c r="A268" s="20"/>
      <c r="B268" s="71">
        <v>5.0999999999999996</v>
      </c>
      <c r="C268" s="22" t="s">
        <v>248</v>
      </c>
      <c r="D268" s="20"/>
      <c r="E268" s="20"/>
      <c r="F268" s="20"/>
      <c r="G268" s="20"/>
      <c r="H268" s="66" t="s">
        <v>113</v>
      </c>
      <c r="I268" s="66"/>
      <c r="J268" s="116">
        <f t="shared" ref="J268:S268" si="149">J270*J284+J286*J280</f>
        <v>42.417000000000002</v>
      </c>
      <c r="K268" s="116">
        <f t="shared" si="149"/>
        <v>72.862066666666664</v>
      </c>
      <c r="L268" s="116">
        <f t="shared" si="149"/>
        <v>118.73599999999999</v>
      </c>
      <c r="M268" s="116">
        <f t="shared" si="149"/>
        <v>241.56023999999999</v>
      </c>
      <c r="N268" s="116">
        <f t="shared" si="149"/>
        <v>289.84832393398494</v>
      </c>
      <c r="O268" s="116">
        <f t="shared" si="149"/>
        <v>582.81820359611993</v>
      </c>
      <c r="P268" s="116">
        <f t="shared" si="149"/>
        <v>748.5030038051957</v>
      </c>
      <c r="Q268" s="116">
        <f t="shared" si="149"/>
        <v>912.41414745695943</v>
      </c>
      <c r="R268" s="116">
        <f t="shared" si="149"/>
        <v>1071.8658785259852</v>
      </c>
      <c r="S268" s="116">
        <f t="shared" si="149"/>
        <v>1224.1982814724342</v>
      </c>
      <c r="T268" s="20"/>
      <c r="U268" s="20"/>
      <c r="V268" s="142"/>
      <c r="W268" s="141"/>
      <c r="X268" s="74"/>
      <c r="Y268" s="75"/>
      <c r="Z268" s="75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</row>
    <row r="269" spans="1:45" ht="15.75" customHeight="1">
      <c r="A269" s="20"/>
      <c r="B269" s="71"/>
      <c r="C269" s="20"/>
      <c r="D269" s="20"/>
      <c r="E269" s="20"/>
      <c r="F269" s="20"/>
      <c r="G269" s="20"/>
      <c r="H269" s="66"/>
      <c r="I269" s="66"/>
      <c r="J269" s="20"/>
      <c r="K269" s="176">
        <f t="shared" ref="K269:S269" si="150">K268/J268-1</f>
        <v>0.71775624553048689</v>
      </c>
      <c r="L269" s="176">
        <f t="shared" si="150"/>
        <v>0.62959967280642593</v>
      </c>
      <c r="M269" s="176">
        <f t="shared" si="150"/>
        <v>1.0344313434847057</v>
      </c>
      <c r="N269" s="176">
        <f t="shared" si="150"/>
        <v>0.19990079465886001</v>
      </c>
      <c r="O269" s="176">
        <f t="shared" si="150"/>
        <v>1.0107696180049706</v>
      </c>
      <c r="P269" s="176">
        <f t="shared" si="150"/>
        <v>0.2842821298078253</v>
      </c>
      <c r="Q269" s="176">
        <f t="shared" si="150"/>
        <v>0.21898528505360959</v>
      </c>
      <c r="R269" s="176">
        <f t="shared" si="150"/>
        <v>0.1747580651981806</v>
      </c>
      <c r="S269" s="176">
        <f t="shared" si="150"/>
        <v>0.14211890311867603</v>
      </c>
      <c r="T269" s="20"/>
      <c r="U269" s="20"/>
      <c r="V269" s="142"/>
      <c r="W269" s="141"/>
      <c r="X269" s="74"/>
      <c r="Y269" s="75"/>
      <c r="Z269" s="75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</row>
    <row r="270" spans="1:45" ht="15" customHeight="1">
      <c r="A270" s="20"/>
      <c r="B270" s="71"/>
      <c r="C270" s="20" t="s">
        <v>249</v>
      </c>
      <c r="D270" s="251" t="s">
        <v>250</v>
      </c>
      <c r="E270" s="20"/>
      <c r="F270" s="20"/>
      <c r="G270" s="20"/>
      <c r="H270" s="66" t="s">
        <v>251</v>
      </c>
      <c r="I270" s="66"/>
      <c r="J270" s="116">
        <f>J272</f>
        <v>2.8278000000000003</v>
      </c>
      <c r="K270" s="116">
        <f t="shared" ref="K270:S270" si="151">K272-J272</f>
        <v>5.0833999999999993</v>
      </c>
      <c r="L270" s="116">
        <f t="shared" si="151"/>
        <v>8.6879999999999988</v>
      </c>
      <c r="M270" s="116">
        <f t="shared" si="151"/>
        <v>9.3628</v>
      </c>
      <c r="N270" s="116">
        <f t="shared" si="151"/>
        <v>11.183858158224499</v>
      </c>
      <c r="O270" s="116">
        <f t="shared" si="151"/>
        <v>22.473709650235982</v>
      </c>
      <c r="P270" s="116">
        <f t="shared" si="151"/>
        <v>30.054326593262225</v>
      </c>
      <c r="Q270" s="116">
        <f t="shared" si="151"/>
        <v>38.229643049872593</v>
      </c>
      <c r="R270" s="116">
        <f t="shared" si="151"/>
        <v>46.973889936132565</v>
      </c>
      <c r="S270" s="116">
        <f t="shared" si="151"/>
        <v>56.259112200019956</v>
      </c>
      <c r="T270" s="20"/>
      <c r="U270" s="20"/>
      <c r="V270" s="142"/>
      <c r="W270" s="141"/>
      <c r="X270" s="74"/>
      <c r="Y270" s="75"/>
      <c r="Z270" s="75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</row>
    <row r="271" spans="1:45" ht="15" customHeight="1">
      <c r="A271" s="20"/>
      <c r="B271" s="71"/>
      <c r="C271" s="20"/>
      <c r="D271" s="23"/>
      <c r="E271" s="20"/>
      <c r="F271" s="20"/>
      <c r="G271" s="20"/>
      <c r="H271" s="66"/>
      <c r="I271" s="66"/>
      <c r="J271" s="20"/>
      <c r="K271" s="176">
        <f t="shared" ref="K271:S271" si="152">K270/J270-1</f>
        <v>0.79765188485748584</v>
      </c>
      <c r="L271" s="176">
        <f t="shared" si="152"/>
        <v>0.70909233977259323</v>
      </c>
      <c r="M271" s="176">
        <f t="shared" si="152"/>
        <v>7.7670349907919212E-2</v>
      </c>
      <c r="N271" s="176">
        <f t="shared" si="152"/>
        <v>0.19449931198193915</v>
      </c>
      <c r="O271" s="176">
        <f t="shared" si="152"/>
        <v>1.0094773496129363</v>
      </c>
      <c r="P271" s="176">
        <f t="shared" si="152"/>
        <v>0.33731044233485696</v>
      </c>
      <c r="Q271" s="176">
        <f t="shared" si="152"/>
        <v>0.27201795492710068</v>
      </c>
      <c r="R271" s="176">
        <f t="shared" si="152"/>
        <v>0.22872949336337345</v>
      </c>
      <c r="S271" s="176">
        <f t="shared" si="152"/>
        <v>0.19766773151024797</v>
      </c>
      <c r="T271" s="20"/>
      <c r="U271" s="20"/>
      <c r="V271" s="142"/>
      <c r="W271" s="141"/>
      <c r="X271" s="74"/>
      <c r="Y271" s="75"/>
      <c r="Z271" s="75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</row>
    <row r="272" spans="1:45" ht="15" customHeight="1">
      <c r="A272" s="20"/>
      <c r="B272" s="71"/>
      <c r="C272" s="20"/>
      <c r="D272" s="251" t="s">
        <v>252</v>
      </c>
      <c r="E272" s="20"/>
      <c r="F272" s="20"/>
      <c r="G272" s="20"/>
      <c r="H272" s="66" t="s">
        <v>251</v>
      </c>
      <c r="I272" s="66"/>
      <c r="J272" s="116">
        <f t="shared" ref="J272:S272" si="153">J274*J277</f>
        <v>2.8278000000000003</v>
      </c>
      <c r="K272" s="116">
        <f t="shared" si="153"/>
        <v>7.9112</v>
      </c>
      <c r="L272" s="116">
        <f t="shared" si="153"/>
        <v>16.5992</v>
      </c>
      <c r="M272" s="116">
        <f t="shared" si="153"/>
        <v>25.962</v>
      </c>
      <c r="N272" s="116">
        <f t="shared" si="153"/>
        <v>37.145858158224499</v>
      </c>
      <c r="O272" s="116">
        <f t="shared" si="153"/>
        <v>59.619567808460481</v>
      </c>
      <c r="P272" s="116">
        <f t="shared" si="153"/>
        <v>89.673894401722706</v>
      </c>
      <c r="Q272" s="116">
        <f t="shared" si="153"/>
        <v>127.9035374515953</v>
      </c>
      <c r="R272" s="116">
        <f t="shared" si="153"/>
        <v>174.87742738772786</v>
      </c>
      <c r="S272" s="116">
        <f t="shared" si="153"/>
        <v>231.13653958774782</v>
      </c>
      <c r="T272" s="20"/>
      <c r="U272" s="20"/>
      <c r="V272" s="142"/>
      <c r="W272" s="141"/>
      <c r="X272" s="74"/>
      <c r="Y272" s="75"/>
      <c r="Z272" s="75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</row>
    <row r="273" spans="1:45" ht="15" customHeight="1">
      <c r="A273" s="20"/>
      <c r="B273" s="71"/>
      <c r="C273" s="20"/>
      <c r="D273" s="23"/>
      <c r="E273" s="20"/>
      <c r="F273" s="20"/>
      <c r="G273" s="20"/>
      <c r="H273" s="66"/>
      <c r="I273" s="66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142"/>
      <c r="W273" s="141"/>
      <c r="X273" s="74"/>
      <c r="Y273" s="75"/>
      <c r="Z273" s="75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</row>
    <row r="274" spans="1:45" ht="15" customHeight="1">
      <c r="A274" s="20"/>
      <c r="B274" s="71"/>
      <c r="C274" s="20"/>
      <c r="E274" s="251" t="s">
        <v>253</v>
      </c>
      <c r="F274" s="20"/>
      <c r="G274" s="20"/>
      <c r="H274" s="66" t="s">
        <v>251</v>
      </c>
      <c r="I274" s="66"/>
      <c r="J274" s="252">
        <v>1885.2</v>
      </c>
      <c r="K274" s="174">
        <v>1977.8</v>
      </c>
      <c r="L274" s="174">
        <v>2074.9</v>
      </c>
      <c r="M274" s="174">
        <v>2163.5</v>
      </c>
      <c r="N274" s="116">
        <f t="shared" ref="N274:S274" si="154">M274*(1+N275)</f>
        <v>2251.2641308014845</v>
      </c>
      <c r="O274" s="116">
        <f t="shared" si="154"/>
        <v>2338.02226699845</v>
      </c>
      <c r="P274" s="116">
        <f t="shared" si="154"/>
        <v>2423.6187676141267</v>
      </c>
      <c r="Q274" s="116">
        <f t="shared" si="154"/>
        <v>2507.9124990508881</v>
      </c>
      <c r="R274" s="116">
        <f t="shared" si="154"/>
        <v>2590.7767020404126</v>
      </c>
      <c r="S274" s="116">
        <f t="shared" si="154"/>
        <v>2672.0987235577782</v>
      </c>
      <c r="T274" s="20"/>
      <c r="U274" s="20"/>
      <c r="V274" s="142"/>
      <c r="W274" s="141"/>
      <c r="X274" s="74"/>
      <c r="Y274" s="167" t="s">
        <v>254</v>
      </c>
      <c r="Z274" s="75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</row>
    <row r="275" spans="1:45" ht="15" customHeight="1">
      <c r="A275" s="20"/>
      <c r="B275" s="71"/>
      <c r="C275" s="20"/>
      <c r="E275" s="244" t="s">
        <v>83</v>
      </c>
      <c r="F275" s="20"/>
      <c r="G275" s="20"/>
      <c r="H275" s="66"/>
      <c r="I275" s="66"/>
      <c r="J275" s="20"/>
      <c r="K275" s="176">
        <f t="shared" ref="K275:M275" si="155">K274/J274-1</f>
        <v>4.9119456821557383E-2</v>
      </c>
      <c r="L275" s="176">
        <f t="shared" si="155"/>
        <v>4.9094953989281098E-2</v>
      </c>
      <c r="M275" s="176">
        <f t="shared" si="155"/>
        <v>4.2700853053159182E-2</v>
      </c>
      <c r="N275" s="176">
        <f t="shared" ref="N275:S275" si="156">M275*$T$275</f>
        <v>4.0565810400501223E-2</v>
      </c>
      <c r="O275" s="176">
        <f t="shared" si="156"/>
        <v>3.8537519880476163E-2</v>
      </c>
      <c r="P275" s="176">
        <f t="shared" si="156"/>
        <v>3.6610643886452354E-2</v>
      </c>
      <c r="Q275" s="176">
        <f t="shared" si="156"/>
        <v>3.4780111692129738E-2</v>
      </c>
      <c r="R275" s="176">
        <f t="shared" si="156"/>
        <v>3.3041106107523248E-2</v>
      </c>
      <c r="S275" s="176">
        <f t="shared" si="156"/>
        <v>3.1389050802147087E-2</v>
      </c>
      <c r="T275" s="120">
        <v>0.95</v>
      </c>
      <c r="U275" s="20"/>
      <c r="V275" s="142"/>
      <c r="W275" s="141"/>
      <c r="X275" s="74"/>
      <c r="Y275" s="75"/>
      <c r="Z275" s="75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</row>
    <row r="276" spans="1:45" ht="15" customHeight="1">
      <c r="A276" s="20"/>
      <c r="B276" s="71"/>
      <c r="C276" s="20"/>
      <c r="E276" s="23"/>
      <c r="F276" s="20"/>
      <c r="G276" s="20"/>
      <c r="H276" s="66"/>
      <c r="I276" s="66"/>
      <c r="J276" s="253"/>
      <c r="K276" s="254" t="s">
        <v>255</v>
      </c>
      <c r="L276" s="247"/>
      <c r="M276" s="253"/>
      <c r="N276" s="176"/>
      <c r="O276" s="176"/>
      <c r="P276" s="176"/>
      <c r="Q276" s="176"/>
      <c r="R276" s="176"/>
      <c r="S276" s="253"/>
      <c r="T276" s="20"/>
      <c r="U276" s="20"/>
      <c r="V276" s="142"/>
      <c r="W276" s="141"/>
      <c r="X276" s="74"/>
      <c r="Y276" s="75"/>
      <c r="Z276" s="75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</row>
    <row r="277" spans="1:45" ht="15" customHeight="1">
      <c r="A277" s="20"/>
      <c r="B277" s="71"/>
      <c r="C277" s="20"/>
      <c r="E277" s="23" t="s">
        <v>256</v>
      </c>
      <c r="F277" s="20"/>
      <c r="G277" s="20"/>
      <c r="H277" s="66" t="s">
        <v>69</v>
      </c>
      <c r="I277" s="66"/>
      <c r="J277" s="253">
        <v>1.5E-3</v>
      </c>
      <c r="K277" s="247">
        <v>4.0000000000000001E-3</v>
      </c>
      <c r="L277" s="247">
        <v>8.0000000000000002E-3</v>
      </c>
      <c r="M277" s="253">
        <v>1.2E-2</v>
      </c>
      <c r="N277" s="255">
        <v>1.6500000000000001E-2</v>
      </c>
      <c r="O277" s="248">
        <f t="shared" ref="O277:S277" si="157">N277+O278</f>
        <v>2.5500000000000002E-2</v>
      </c>
      <c r="P277" s="248">
        <f t="shared" si="157"/>
        <v>3.7000000000000005E-2</v>
      </c>
      <c r="Q277" s="248">
        <f t="shared" si="157"/>
        <v>5.1000000000000004E-2</v>
      </c>
      <c r="R277" s="248">
        <f t="shared" si="157"/>
        <v>6.7500000000000004E-2</v>
      </c>
      <c r="S277" s="248">
        <f t="shared" si="157"/>
        <v>8.6500000000000007E-2</v>
      </c>
      <c r="T277" s="20"/>
      <c r="U277" s="20"/>
      <c r="V277" s="142"/>
      <c r="W277" s="141"/>
      <c r="X277" s="74"/>
      <c r="Y277" s="75"/>
      <c r="Z277" s="75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</row>
    <row r="278" spans="1:45" ht="15.75" customHeight="1">
      <c r="A278" s="20"/>
      <c r="B278" s="71"/>
      <c r="C278" s="20"/>
      <c r="D278" s="20"/>
      <c r="E278" s="20"/>
      <c r="F278" s="20" t="s">
        <v>137</v>
      </c>
      <c r="G278" s="20"/>
      <c r="H278" s="66"/>
      <c r="I278" s="66"/>
      <c r="J278" s="20"/>
      <c r="K278" s="176">
        <f t="shared" ref="K278:M278" si="158">K277-J277</f>
        <v>2.5000000000000001E-3</v>
      </c>
      <c r="L278" s="176">
        <f t="shared" si="158"/>
        <v>4.0000000000000001E-3</v>
      </c>
      <c r="M278" s="176">
        <f t="shared" si="158"/>
        <v>4.0000000000000001E-3</v>
      </c>
      <c r="N278" s="176">
        <f t="shared" ref="N278:S278" si="159">M278+$T$278</f>
        <v>6.5000000000000006E-3</v>
      </c>
      <c r="O278" s="176">
        <f t="shared" si="159"/>
        <v>9.0000000000000011E-3</v>
      </c>
      <c r="P278" s="176">
        <f t="shared" si="159"/>
        <v>1.1500000000000002E-2</v>
      </c>
      <c r="Q278" s="176">
        <f t="shared" si="159"/>
        <v>1.4000000000000002E-2</v>
      </c>
      <c r="R278" s="176">
        <f t="shared" si="159"/>
        <v>1.6500000000000001E-2</v>
      </c>
      <c r="S278" s="176">
        <f t="shared" si="159"/>
        <v>1.9E-2</v>
      </c>
      <c r="T278" s="191">
        <v>2.5000000000000001E-3</v>
      </c>
      <c r="U278" s="20"/>
      <c r="V278" s="142"/>
      <c r="W278" s="141"/>
      <c r="X278" s="74"/>
      <c r="Y278" s="75"/>
      <c r="Z278" s="75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</row>
    <row r="279" spans="1:45" ht="15.75" customHeight="1">
      <c r="A279" s="20"/>
      <c r="B279" s="71"/>
      <c r="C279" s="20"/>
      <c r="D279" s="20"/>
      <c r="E279" s="20"/>
      <c r="F279" s="20"/>
      <c r="G279" s="20"/>
      <c r="H279" s="66"/>
      <c r="I279" s="66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142"/>
      <c r="W279" s="141"/>
      <c r="X279" s="74"/>
      <c r="Y279" s="75"/>
      <c r="Z279" s="75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</row>
    <row r="280" spans="1:45" ht="15" customHeight="1">
      <c r="A280" s="20"/>
      <c r="B280" s="71"/>
      <c r="C280" s="20"/>
      <c r="D280" s="23" t="s">
        <v>257</v>
      </c>
      <c r="E280" s="20"/>
      <c r="F280" s="20"/>
      <c r="G280" s="20"/>
      <c r="H280" s="66" t="s">
        <v>117</v>
      </c>
      <c r="I280" s="66"/>
      <c r="J280" s="116">
        <f t="shared" ref="J280:S280" si="160">J270*J282</f>
        <v>0</v>
      </c>
      <c r="K280" s="116">
        <f t="shared" si="160"/>
        <v>0</v>
      </c>
      <c r="L280" s="116">
        <f t="shared" si="160"/>
        <v>0</v>
      </c>
      <c r="M280" s="116">
        <f t="shared" si="160"/>
        <v>7.49024</v>
      </c>
      <c r="N280" s="116">
        <f t="shared" si="160"/>
        <v>9.7858758884464372</v>
      </c>
      <c r="O280" s="116">
        <f t="shared" si="160"/>
        <v>21.350024167724182</v>
      </c>
      <c r="P280" s="116">
        <f t="shared" si="160"/>
        <v>28.777017713048579</v>
      </c>
      <c r="Q280" s="116">
        <f t="shared" si="160"/>
        <v>36.891605543127056</v>
      </c>
      <c r="R280" s="116">
        <f t="shared" si="160"/>
        <v>45.682107962888928</v>
      </c>
      <c r="S280" s="116">
        <f t="shared" si="160"/>
        <v>55.133929956019557</v>
      </c>
      <c r="T280" s="20"/>
      <c r="U280" s="20"/>
      <c r="V280" s="142"/>
      <c r="W280" s="141"/>
      <c r="X280" s="74"/>
      <c r="Y280" s="75"/>
      <c r="Z280" s="75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</row>
    <row r="281" spans="1:45" ht="15" customHeight="1">
      <c r="A281" s="20"/>
      <c r="B281" s="71"/>
      <c r="C281" s="20"/>
      <c r="D281" s="23"/>
      <c r="E281" s="20"/>
      <c r="F281" s="20"/>
      <c r="G281" s="20"/>
      <c r="H281" s="66"/>
      <c r="I281" s="66"/>
      <c r="J281" s="174"/>
      <c r="K281" s="116"/>
      <c r="L281" s="116"/>
      <c r="M281" s="174"/>
      <c r="N281" s="116"/>
      <c r="O281" s="116"/>
      <c r="P281" s="116"/>
      <c r="Q281" s="116"/>
      <c r="R281" s="116"/>
      <c r="S281" s="120"/>
      <c r="T281" s="20"/>
      <c r="U281" s="20"/>
      <c r="V281" s="142"/>
      <c r="W281" s="141"/>
      <c r="X281" s="74"/>
      <c r="Y281" s="75"/>
      <c r="Z281" s="75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</row>
    <row r="282" spans="1:45" ht="15" customHeight="1">
      <c r="A282" s="20"/>
      <c r="B282" s="71"/>
      <c r="C282" s="20"/>
      <c r="D282" s="23" t="s">
        <v>258</v>
      </c>
      <c r="E282" s="20"/>
      <c r="F282" s="20"/>
      <c r="G282" s="20"/>
      <c r="H282" s="66" t="s">
        <v>69</v>
      </c>
      <c r="I282" s="66"/>
      <c r="J282" s="256">
        <v>0</v>
      </c>
      <c r="K282" s="256">
        <v>0</v>
      </c>
      <c r="L282" s="256">
        <v>0</v>
      </c>
      <c r="M282" s="257">
        <v>0.8</v>
      </c>
      <c r="N282" s="83">
        <f>M282+($O$282-$M$282)/2</f>
        <v>0.875</v>
      </c>
      <c r="O282" s="119">
        <v>0.95</v>
      </c>
      <c r="P282" s="77">
        <f t="shared" ref="P282:R282" si="161">O282+($S$282-$O$282)/4</f>
        <v>0.95750000000000002</v>
      </c>
      <c r="Q282" s="77">
        <f t="shared" si="161"/>
        <v>0.96500000000000008</v>
      </c>
      <c r="R282" s="77">
        <f t="shared" si="161"/>
        <v>0.97250000000000014</v>
      </c>
      <c r="S282" s="173">
        <v>0.98</v>
      </c>
      <c r="T282" s="20"/>
      <c r="U282" s="20"/>
      <c r="V282" s="142"/>
      <c r="W282" s="141"/>
      <c r="X282" s="74"/>
      <c r="Y282" s="75"/>
      <c r="Z282" s="75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</row>
    <row r="283" spans="1:45" ht="15.75" customHeight="1">
      <c r="A283" s="20"/>
      <c r="B283" s="71"/>
      <c r="C283" s="20"/>
      <c r="D283" s="20"/>
      <c r="E283" s="20"/>
      <c r="F283" s="20"/>
      <c r="G283" s="20"/>
      <c r="H283" s="66"/>
      <c r="I283" s="66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142"/>
      <c r="W283" s="141"/>
      <c r="X283" s="74"/>
      <c r="Y283" s="75"/>
      <c r="Z283" s="75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</row>
    <row r="284" spans="1:45" ht="15" customHeight="1">
      <c r="A284" s="20"/>
      <c r="B284" s="71"/>
      <c r="C284" s="20" t="s">
        <v>259</v>
      </c>
      <c r="D284" s="258" t="s">
        <v>260</v>
      </c>
      <c r="E284" s="20"/>
      <c r="F284" s="20"/>
      <c r="G284" s="20"/>
      <c r="H284" s="66" t="s">
        <v>140</v>
      </c>
      <c r="I284" s="66"/>
      <c r="J284" s="177">
        <v>15</v>
      </c>
      <c r="K284" s="116">
        <f t="shared" ref="K284:L284" si="162">J284+($M284-$J284)/3</f>
        <v>14.333333333333334</v>
      </c>
      <c r="L284" s="116">
        <f t="shared" si="162"/>
        <v>13.666666666666668</v>
      </c>
      <c r="M284" s="177">
        <v>13</v>
      </c>
      <c r="N284" s="116">
        <f t="shared" ref="N284:R284" si="163">M284+($S284-$M284)/6</f>
        <v>12.5</v>
      </c>
      <c r="O284" s="116">
        <f t="shared" si="163"/>
        <v>12</v>
      </c>
      <c r="P284" s="116">
        <f t="shared" si="163"/>
        <v>11.5</v>
      </c>
      <c r="Q284" s="116">
        <f t="shared" si="163"/>
        <v>11</v>
      </c>
      <c r="R284" s="116">
        <f t="shared" si="163"/>
        <v>10.5</v>
      </c>
      <c r="S284" s="177">
        <v>10</v>
      </c>
      <c r="T284" s="20"/>
      <c r="U284" s="20"/>
      <c r="V284" s="142"/>
      <c r="W284" s="141"/>
      <c r="X284" s="74"/>
      <c r="Z284" s="75" t="s">
        <v>261</v>
      </c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</row>
    <row r="285" spans="1:45" ht="15" customHeight="1">
      <c r="A285" s="20"/>
      <c r="B285" s="71"/>
      <c r="C285" s="20"/>
      <c r="D285" s="23"/>
      <c r="E285" s="20"/>
      <c r="F285" s="20"/>
      <c r="G285" s="20"/>
      <c r="H285" s="66"/>
      <c r="I285" s="66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142"/>
      <c r="W285" s="141"/>
      <c r="X285" s="74"/>
      <c r="Y285" s="75"/>
      <c r="Z285" s="75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</row>
    <row r="286" spans="1:45" ht="15" customHeight="1">
      <c r="A286" s="20"/>
      <c r="B286" s="71"/>
      <c r="C286" s="20"/>
      <c r="D286" s="23" t="s">
        <v>262</v>
      </c>
      <c r="E286" s="20"/>
      <c r="F286" s="20"/>
      <c r="G286" s="20"/>
      <c r="H286" s="66" t="s">
        <v>140</v>
      </c>
      <c r="I286" s="66"/>
      <c r="J286" s="177">
        <f>100/5</f>
        <v>20</v>
      </c>
      <c r="K286" s="116">
        <f t="shared" ref="K286:L286" si="164">J286+($M286-$J286)/3</f>
        <v>18.666666666666668</v>
      </c>
      <c r="L286" s="116">
        <f t="shared" si="164"/>
        <v>17.333333333333336</v>
      </c>
      <c r="M286" s="177">
        <f>80/5</f>
        <v>16</v>
      </c>
      <c r="N286" s="116">
        <f t="shared" ref="N286:R286" si="165">M286+($S286-$M286)/6</f>
        <v>15.333333333333334</v>
      </c>
      <c r="O286" s="116">
        <f t="shared" si="165"/>
        <v>14.666666666666668</v>
      </c>
      <c r="P286" s="116">
        <f t="shared" si="165"/>
        <v>14.000000000000002</v>
      </c>
      <c r="Q286" s="116">
        <f t="shared" si="165"/>
        <v>13.333333333333336</v>
      </c>
      <c r="R286" s="116">
        <f t="shared" si="165"/>
        <v>12.66666666666667</v>
      </c>
      <c r="S286" s="177">
        <f>60/5</f>
        <v>12</v>
      </c>
      <c r="T286" s="20"/>
      <c r="U286" s="20"/>
      <c r="V286" s="142"/>
      <c r="W286" s="141"/>
      <c r="X286" s="74"/>
      <c r="Y286" s="75"/>
      <c r="Z286" s="75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</row>
    <row r="287" spans="1:45" ht="15" customHeight="1">
      <c r="A287" s="20"/>
      <c r="B287" s="71"/>
      <c r="C287" s="20"/>
      <c r="D287" s="23"/>
      <c r="E287" s="20"/>
      <c r="F287" s="20"/>
      <c r="G287" s="20"/>
      <c r="H287" s="66"/>
      <c r="I287" s="66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142"/>
      <c r="W287" s="141"/>
      <c r="X287" s="74"/>
      <c r="Y287" s="75"/>
      <c r="Z287" s="75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</row>
    <row r="288" spans="1:45" ht="15" customHeight="1">
      <c r="A288" s="20"/>
      <c r="B288" s="71"/>
      <c r="C288" s="195" t="s">
        <v>96</v>
      </c>
      <c r="D288" s="20"/>
      <c r="E288" s="20"/>
      <c r="F288" s="20"/>
      <c r="G288" s="20"/>
      <c r="H288" s="66"/>
      <c r="I288" s="66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142"/>
      <c r="W288" s="141"/>
      <c r="X288" s="74"/>
      <c r="Y288" s="75"/>
      <c r="Z288" s="75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</row>
    <row r="289" spans="1:45" ht="15" customHeight="1">
      <c r="A289" s="20"/>
      <c r="B289" s="71"/>
      <c r="C289" s="195" t="s">
        <v>263</v>
      </c>
      <c r="D289" s="20"/>
      <c r="E289" s="20"/>
      <c r="F289" s="20"/>
      <c r="G289" s="20"/>
      <c r="H289" s="66"/>
      <c r="I289" s="66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142"/>
      <c r="W289" s="141"/>
      <c r="X289" s="74"/>
      <c r="Y289" s="75"/>
      <c r="Z289" s="75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</row>
    <row r="290" spans="1:45" ht="15" customHeight="1">
      <c r="A290" s="20"/>
      <c r="B290" s="71"/>
      <c r="C290" s="195" t="s">
        <v>264</v>
      </c>
      <c r="D290" s="20"/>
      <c r="E290" s="20"/>
      <c r="F290" s="20"/>
      <c r="G290" s="20"/>
      <c r="H290" s="66"/>
      <c r="I290" s="66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142"/>
      <c r="W290" s="141"/>
      <c r="X290" s="74"/>
      <c r="Y290" s="75"/>
      <c r="Z290" s="75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</row>
    <row r="291" spans="1:45" ht="15" customHeight="1">
      <c r="A291" s="20"/>
      <c r="B291" s="71"/>
      <c r="C291" s="195"/>
      <c r="D291" s="20"/>
      <c r="E291" s="20"/>
      <c r="F291" s="20"/>
      <c r="G291" s="20"/>
      <c r="H291" s="66"/>
      <c r="I291" s="66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142"/>
      <c r="W291" s="141"/>
      <c r="X291" s="74"/>
      <c r="Y291" s="75"/>
      <c r="Z291" s="75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</row>
    <row r="292" spans="1:45" ht="15" customHeight="1">
      <c r="A292" s="20"/>
      <c r="B292" s="71">
        <v>5.2</v>
      </c>
      <c r="C292" s="22" t="s">
        <v>265</v>
      </c>
      <c r="D292" s="20"/>
      <c r="E292" s="20"/>
      <c r="F292" s="20"/>
      <c r="G292" s="20"/>
      <c r="H292" s="66" t="s">
        <v>113</v>
      </c>
      <c r="I292" s="66"/>
      <c r="J292" s="116">
        <f t="shared" ref="J292:S292" si="166">J294*J304</f>
        <v>9.0359999999999996</v>
      </c>
      <c r="K292" s="116">
        <f t="shared" si="166"/>
        <v>10.045999999999998</v>
      </c>
      <c r="L292" s="116">
        <f t="shared" si="166"/>
        <v>11.07925</v>
      </c>
      <c r="M292" s="116">
        <f t="shared" si="166"/>
        <v>14.373000000000003</v>
      </c>
      <c r="N292" s="116">
        <f t="shared" si="166"/>
        <v>17.076430300368681</v>
      </c>
      <c r="O292" s="116">
        <f t="shared" si="166"/>
        <v>19.953904091387592</v>
      </c>
      <c r="P292" s="116">
        <f t="shared" si="166"/>
        <v>23.00140077741905</v>
      </c>
      <c r="Q292" s="116">
        <f t="shared" si="166"/>
        <v>26.2148325550469</v>
      </c>
      <c r="R292" s="116">
        <f t="shared" si="166"/>
        <v>29.590087123514706</v>
      </c>
      <c r="S292" s="116">
        <f t="shared" si="166"/>
        <v>33.123065288725478</v>
      </c>
      <c r="T292" s="20"/>
      <c r="U292" s="20"/>
      <c r="V292" s="259">
        <f>IFERROR(POWER(M292/J292,1/3)-1,"N.A.")</f>
        <v>0.1673212757670679</v>
      </c>
      <c r="W292" s="260">
        <f>IFERROR(POWER(S292/M292,1/6)-1,"N.A.")</f>
        <v>0.14929234976709704</v>
      </c>
      <c r="X292" s="74"/>
      <c r="Y292" s="75"/>
      <c r="Z292" s="75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</row>
    <row r="293" spans="1:45" ht="15.75" customHeight="1">
      <c r="A293" s="20"/>
      <c r="B293" s="71"/>
      <c r="C293" s="20"/>
      <c r="D293" s="20"/>
      <c r="E293" s="20"/>
      <c r="F293" s="20"/>
      <c r="G293" s="20"/>
      <c r="H293" s="66"/>
      <c r="I293" s="6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20"/>
      <c r="U293" s="20"/>
      <c r="V293" s="142"/>
      <c r="W293" s="141"/>
      <c r="X293" s="74"/>
      <c r="Y293" s="75"/>
      <c r="Z293" s="75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</row>
    <row r="294" spans="1:45" ht="15" customHeight="1">
      <c r="A294" s="20"/>
      <c r="B294" s="71"/>
      <c r="C294" s="20" t="s">
        <v>266</v>
      </c>
      <c r="D294" s="23" t="s">
        <v>267</v>
      </c>
      <c r="E294" s="20"/>
      <c r="F294" s="20"/>
      <c r="G294" s="20"/>
      <c r="H294" s="66" t="s">
        <v>251</v>
      </c>
      <c r="I294" s="66"/>
      <c r="J294" s="116">
        <f>J296</f>
        <v>6.0240000000000002E-2</v>
      </c>
      <c r="K294" s="116">
        <f t="shared" ref="K294:S294" si="167">K296-J296</f>
        <v>7.5344999999999981E-2</v>
      </c>
      <c r="L294" s="116">
        <f t="shared" si="167"/>
        <v>9.4964999999999994E-2</v>
      </c>
      <c r="M294" s="116">
        <f t="shared" si="167"/>
        <v>0.14373000000000002</v>
      </c>
      <c r="N294" s="116">
        <f t="shared" si="167"/>
        <v>0.15067438500325309</v>
      </c>
      <c r="O294" s="116">
        <f t="shared" si="167"/>
        <v>0.15753082177411259</v>
      </c>
      <c r="P294" s="116">
        <f t="shared" si="167"/>
        <v>0.1642957198387075</v>
      </c>
      <c r="Q294" s="116">
        <f t="shared" si="167"/>
        <v>0.17096629927204499</v>
      </c>
      <c r="R294" s="116">
        <f t="shared" si="167"/>
        <v>0.17754052274108822</v>
      </c>
      <c r="S294" s="116">
        <f t="shared" si="167"/>
        <v>0.18401702938180819</v>
      </c>
      <c r="T294" s="20"/>
      <c r="U294" s="20"/>
      <c r="V294" s="142"/>
      <c r="W294" s="141"/>
      <c r="X294" s="74"/>
      <c r="Y294" s="75"/>
      <c r="Z294" s="75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</row>
    <row r="295" spans="1:45" ht="15.75" customHeight="1">
      <c r="A295" s="20"/>
      <c r="B295" s="71"/>
      <c r="C295" s="20"/>
      <c r="D295" s="20"/>
      <c r="E295" s="20"/>
      <c r="F295" s="20"/>
      <c r="G295" s="20"/>
      <c r="H295" s="66"/>
      <c r="I295" s="6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20"/>
      <c r="U295" s="20"/>
      <c r="V295" s="142"/>
      <c r="W295" s="141"/>
      <c r="X295" s="74"/>
      <c r="Y295" s="75"/>
      <c r="Z295" s="75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</row>
    <row r="296" spans="1:45" ht="15" customHeight="1">
      <c r="A296" s="20"/>
      <c r="B296" s="71"/>
      <c r="C296" s="20"/>
      <c r="D296" s="23" t="s">
        <v>268</v>
      </c>
      <c r="E296" s="20"/>
      <c r="F296" s="20"/>
      <c r="G296" s="20"/>
      <c r="H296" s="66" t="s">
        <v>251</v>
      </c>
      <c r="I296" s="66"/>
      <c r="J296" s="116">
        <f t="shared" ref="J296:S296" si="168">J298*J301</f>
        <v>6.0240000000000002E-2</v>
      </c>
      <c r="K296" s="116">
        <f t="shared" si="168"/>
        <v>0.13558499999999998</v>
      </c>
      <c r="L296" s="116">
        <f t="shared" si="168"/>
        <v>0.23054999999999998</v>
      </c>
      <c r="M296" s="116">
        <f t="shared" si="168"/>
        <v>0.37428</v>
      </c>
      <c r="N296" s="116">
        <f t="shared" si="168"/>
        <v>0.52495438500325309</v>
      </c>
      <c r="O296" s="116">
        <f t="shared" si="168"/>
        <v>0.68248520677736568</v>
      </c>
      <c r="P296" s="116">
        <f t="shared" si="168"/>
        <v>0.84678092661607318</v>
      </c>
      <c r="Q296" s="116">
        <f t="shared" si="168"/>
        <v>1.0177472258881182</v>
      </c>
      <c r="R296" s="116">
        <f t="shared" si="168"/>
        <v>1.1952877486292064</v>
      </c>
      <c r="S296" s="116">
        <f t="shared" si="168"/>
        <v>1.3793047780110146</v>
      </c>
      <c r="T296" s="20"/>
      <c r="U296" s="20"/>
      <c r="V296" s="142"/>
      <c r="W296" s="141"/>
      <c r="X296" s="74"/>
      <c r="Y296" s="75"/>
      <c r="Z296" s="75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</row>
    <row r="297" spans="1:45" ht="15.75" customHeight="1">
      <c r="A297" s="20"/>
      <c r="B297" s="71"/>
      <c r="C297" s="20"/>
      <c r="D297" s="20"/>
      <c r="E297" s="20"/>
      <c r="F297" s="20"/>
      <c r="G297" s="20"/>
      <c r="H297" s="66"/>
      <c r="I297" s="66"/>
      <c r="J297" s="20"/>
      <c r="K297" s="20"/>
      <c r="M297" s="20"/>
      <c r="N297" s="20"/>
      <c r="O297" s="20"/>
      <c r="P297" s="20"/>
      <c r="Q297" s="20"/>
      <c r="R297" s="20"/>
      <c r="S297" s="20"/>
      <c r="T297" s="20"/>
      <c r="U297" s="20"/>
      <c r="V297" s="142"/>
      <c r="W297" s="141"/>
      <c r="X297" s="74"/>
      <c r="Y297" s="75"/>
      <c r="Z297" s="75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</row>
    <row r="298" spans="1:45" ht="15" customHeight="1">
      <c r="A298" s="20"/>
      <c r="B298" s="71"/>
      <c r="C298" s="20"/>
      <c r="D298" s="258" t="s">
        <v>269</v>
      </c>
      <c r="E298" s="20"/>
      <c r="F298" s="20"/>
      <c r="G298" s="20"/>
      <c r="H298" s="66" t="s">
        <v>251</v>
      </c>
      <c r="I298" s="66"/>
      <c r="J298" s="174">
        <f>3012/1000</f>
        <v>3.012</v>
      </c>
      <c r="K298" s="174">
        <f>3013/1000</f>
        <v>3.0129999999999999</v>
      </c>
      <c r="L298" s="252">
        <f>3074/1000</f>
        <v>3.0739999999999998</v>
      </c>
      <c r="M298" s="174">
        <f>3119/1000</f>
        <v>3.1190000000000002</v>
      </c>
      <c r="N298" s="116">
        <f t="shared" ref="N298:S298" si="169">M298*(1+N299)</f>
        <v>3.1623758132726096</v>
      </c>
      <c r="O298" s="116">
        <f t="shared" si="169"/>
        <v>3.2041559003632196</v>
      </c>
      <c r="P298" s="116">
        <f t="shared" si="169"/>
        <v>3.2443713663451086</v>
      </c>
      <c r="Q298" s="116">
        <f t="shared" si="169"/>
        <v>3.2830555673810267</v>
      </c>
      <c r="R298" s="116">
        <f t="shared" si="169"/>
        <v>3.3202437461922405</v>
      </c>
      <c r="S298" s="116">
        <f t="shared" si="169"/>
        <v>3.3559726958905469</v>
      </c>
      <c r="T298" s="20"/>
      <c r="U298" s="20"/>
      <c r="V298" s="142"/>
      <c r="W298" s="141"/>
      <c r="X298" s="74"/>
      <c r="Y298" s="167" t="s">
        <v>254</v>
      </c>
      <c r="Z298" s="75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</row>
    <row r="299" spans="1:45" ht="15.75" customHeight="1">
      <c r="A299" s="20"/>
      <c r="B299" s="71"/>
      <c r="C299" s="20"/>
      <c r="D299" s="20"/>
      <c r="E299" s="244" t="s">
        <v>83</v>
      </c>
      <c r="F299" s="20"/>
      <c r="G299" s="20"/>
      <c r="H299" s="66"/>
      <c r="I299" s="66"/>
      <c r="J299" s="20"/>
      <c r="K299" s="176">
        <f t="shared" ref="K299:M299" si="170">K298/J298-1</f>
        <v>3.3200531208499307E-4</v>
      </c>
      <c r="L299" s="176">
        <f t="shared" si="170"/>
        <v>2.0245602389644901E-2</v>
      </c>
      <c r="M299" s="77">
        <f t="shared" si="170"/>
        <v>1.463890696161374E-2</v>
      </c>
      <c r="N299" s="176">
        <f t="shared" ref="N299:S299" si="171">M299*$T$299</f>
        <v>1.3906961613533053E-2</v>
      </c>
      <c r="O299" s="176">
        <f t="shared" si="171"/>
        <v>1.32116135328564E-2</v>
      </c>
      <c r="P299" s="176">
        <f t="shared" si="171"/>
        <v>1.2551032856213579E-2</v>
      </c>
      <c r="Q299" s="176">
        <f t="shared" si="171"/>
        <v>1.1923481213402899E-2</v>
      </c>
      <c r="R299" s="176">
        <f t="shared" si="171"/>
        <v>1.1327307152732754E-2</v>
      </c>
      <c r="S299" s="176">
        <f t="shared" si="171"/>
        <v>1.0760941795096115E-2</v>
      </c>
      <c r="T299" s="120">
        <v>0.95</v>
      </c>
      <c r="U299" s="20"/>
      <c r="V299" s="142"/>
      <c r="W299" s="141"/>
      <c r="X299" s="74"/>
      <c r="Y299" s="75"/>
      <c r="Z299" s="75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</row>
    <row r="300" spans="1:45" ht="15" customHeight="1">
      <c r="A300" s="20"/>
      <c r="B300" s="71"/>
      <c r="C300" s="20"/>
      <c r="D300" s="258"/>
      <c r="E300" s="20"/>
      <c r="F300" s="20"/>
      <c r="G300" s="20"/>
      <c r="H300" s="66"/>
      <c r="I300" s="66"/>
      <c r="J300" s="119"/>
      <c r="K300" s="176"/>
      <c r="L300" s="176"/>
      <c r="M300" s="119"/>
      <c r="N300" s="20"/>
      <c r="O300" s="20"/>
      <c r="P300" s="20"/>
      <c r="Q300" s="20"/>
      <c r="R300" s="20"/>
      <c r="S300" s="119"/>
      <c r="T300" s="20"/>
      <c r="U300" s="20"/>
      <c r="V300" s="142"/>
      <c r="W300" s="141"/>
      <c r="X300" s="74"/>
      <c r="Y300" s="75"/>
      <c r="Z300" s="75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</row>
    <row r="301" spans="1:45" ht="15" customHeight="1">
      <c r="A301" s="20"/>
      <c r="B301" s="71"/>
      <c r="C301" s="20"/>
      <c r="D301" s="258" t="s">
        <v>175</v>
      </c>
      <c r="E301" s="20"/>
      <c r="F301" s="20"/>
      <c r="G301" s="20"/>
      <c r="H301" s="66" t="s">
        <v>69</v>
      </c>
      <c r="I301" s="66"/>
      <c r="J301" s="119">
        <v>0.02</v>
      </c>
      <c r="K301" s="176">
        <v>4.4999999999999998E-2</v>
      </c>
      <c r="L301" s="176">
        <v>7.4999999999999997E-2</v>
      </c>
      <c r="M301" s="119">
        <v>0.12</v>
      </c>
      <c r="N301" s="77">
        <f t="shared" ref="N301:S301" si="172">M301+N302</f>
        <v>0.16599999999999998</v>
      </c>
      <c r="O301" s="77">
        <f t="shared" si="172"/>
        <v>0.21299999999999997</v>
      </c>
      <c r="P301" s="77">
        <f t="shared" si="172"/>
        <v>0.26099999999999995</v>
      </c>
      <c r="Q301" s="77">
        <f t="shared" si="172"/>
        <v>0.30999999999999994</v>
      </c>
      <c r="R301" s="77">
        <f t="shared" si="172"/>
        <v>0.35999999999999993</v>
      </c>
      <c r="S301" s="77">
        <f t="shared" si="172"/>
        <v>0.41099999999999992</v>
      </c>
      <c r="T301" s="20"/>
      <c r="U301" s="20"/>
      <c r="V301" s="142"/>
      <c r="W301" s="141"/>
      <c r="X301" s="74"/>
      <c r="Y301" s="75"/>
      <c r="Z301" s="75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</row>
    <row r="302" spans="1:45" ht="15.75" customHeight="1">
      <c r="A302" s="20"/>
      <c r="B302" s="71"/>
      <c r="C302" s="20"/>
      <c r="D302" s="20"/>
      <c r="E302" s="20" t="s">
        <v>137</v>
      </c>
      <c r="F302" s="20"/>
      <c r="G302" s="20"/>
      <c r="H302" s="66"/>
      <c r="I302" s="66"/>
      <c r="J302" s="20"/>
      <c r="K302" s="176">
        <f t="shared" ref="K302:M302" si="173">K301-J301</f>
        <v>2.4999999999999998E-2</v>
      </c>
      <c r="L302" s="176">
        <f t="shared" si="173"/>
        <v>0.03</v>
      </c>
      <c r="M302" s="77">
        <f t="shared" si="173"/>
        <v>4.4999999999999998E-2</v>
      </c>
      <c r="N302" s="77">
        <f t="shared" ref="N302:S302" si="174">M302+$T$302</f>
        <v>4.5999999999999999E-2</v>
      </c>
      <c r="O302" s="77">
        <f t="shared" si="174"/>
        <v>4.7E-2</v>
      </c>
      <c r="P302" s="77">
        <f t="shared" si="174"/>
        <v>4.8000000000000001E-2</v>
      </c>
      <c r="Q302" s="77">
        <f t="shared" si="174"/>
        <v>4.9000000000000002E-2</v>
      </c>
      <c r="R302" s="77">
        <f t="shared" si="174"/>
        <v>0.05</v>
      </c>
      <c r="S302" s="77">
        <f t="shared" si="174"/>
        <v>5.1000000000000004E-2</v>
      </c>
      <c r="T302" s="77">
        <v>1E-3</v>
      </c>
      <c r="U302" s="20"/>
      <c r="V302" s="142"/>
      <c r="W302" s="141"/>
      <c r="X302" s="74"/>
      <c r="Y302" s="75"/>
      <c r="Z302" s="75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</row>
    <row r="303" spans="1:45" ht="15" customHeight="1">
      <c r="A303" s="20"/>
      <c r="B303" s="71"/>
      <c r="C303" s="23"/>
      <c r="D303" s="258"/>
      <c r="E303" s="20"/>
      <c r="F303" s="20"/>
      <c r="G303" s="20"/>
      <c r="H303" s="66"/>
      <c r="I303" s="66"/>
      <c r="J303" s="120"/>
      <c r="K303" s="261"/>
      <c r="L303" s="261"/>
      <c r="M303" s="120" t="s">
        <v>255</v>
      </c>
      <c r="N303" s="261"/>
      <c r="O303" s="261"/>
      <c r="P303" s="261"/>
      <c r="Q303" s="261"/>
      <c r="R303" s="261"/>
      <c r="S303" s="120"/>
      <c r="T303" s="20"/>
      <c r="U303" s="20"/>
      <c r="V303" s="142"/>
      <c r="W303" s="141"/>
      <c r="X303" s="74"/>
      <c r="Y303" s="75"/>
      <c r="Z303" s="75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</row>
    <row r="304" spans="1:45" ht="15" customHeight="1">
      <c r="A304" s="20"/>
      <c r="B304" s="71"/>
      <c r="C304" s="23" t="s">
        <v>270</v>
      </c>
      <c r="D304" s="258" t="s">
        <v>271</v>
      </c>
      <c r="E304" s="20"/>
      <c r="F304" s="20"/>
      <c r="G304" s="20"/>
      <c r="H304" s="66" t="s">
        <v>140</v>
      </c>
      <c r="I304" s="66"/>
      <c r="J304" s="120">
        <v>150</v>
      </c>
      <c r="K304" s="261">
        <f t="shared" ref="K304:L304" si="175">J304+($M304-$J304)/3</f>
        <v>133.33333333333334</v>
      </c>
      <c r="L304" s="261">
        <f t="shared" si="175"/>
        <v>116.66666666666667</v>
      </c>
      <c r="M304" s="120">
        <v>100</v>
      </c>
      <c r="N304" s="261">
        <f t="shared" ref="N304:R304" si="176">M304+($S$304-$M$304)/6</f>
        <v>113.33333333333333</v>
      </c>
      <c r="O304" s="261">
        <f t="shared" si="176"/>
        <v>126.66666666666666</v>
      </c>
      <c r="P304" s="261">
        <f t="shared" si="176"/>
        <v>140</v>
      </c>
      <c r="Q304" s="261">
        <f t="shared" si="176"/>
        <v>153.33333333333334</v>
      </c>
      <c r="R304" s="261">
        <f t="shared" si="176"/>
        <v>166.66666666666669</v>
      </c>
      <c r="S304" s="120">
        <v>180</v>
      </c>
      <c r="T304" s="20"/>
      <c r="U304" s="20"/>
      <c r="V304" s="142"/>
      <c r="W304" s="141"/>
      <c r="X304" s="74"/>
      <c r="Y304" s="167" t="s">
        <v>272</v>
      </c>
      <c r="Z304" s="75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</row>
    <row r="305" spans="1:45" ht="15.75" customHeight="1">
      <c r="A305" s="20"/>
      <c r="B305" s="71"/>
      <c r="C305" s="20"/>
      <c r="D305" s="20"/>
      <c r="E305" s="20"/>
      <c r="F305" s="20"/>
      <c r="G305" s="20"/>
      <c r="H305" s="66"/>
      <c r="I305" s="66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142"/>
      <c r="W305" s="141"/>
      <c r="X305" s="74"/>
      <c r="Y305" s="75"/>
      <c r="Z305" s="75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</row>
    <row r="306" spans="1:45" ht="15" customHeight="1">
      <c r="A306" s="20"/>
      <c r="B306" s="71"/>
      <c r="C306" s="195" t="s">
        <v>96</v>
      </c>
      <c r="D306" s="20"/>
      <c r="E306" s="20"/>
      <c r="F306" s="20"/>
      <c r="G306" s="20"/>
      <c r="H306" s="66"/>
      <c r="I306" s="66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142"/>
      <c r="W306" s="141"/>
      <c r="X306" s="74"/>
      <c r="Y306" s="75"/>
      <c r="Z306" s="75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</row>
    <row r="307" spans="1:45" ht="15" customHeight="1">
      <c r="A307" s="20"/>
      <c r="B307" s="71"/>
      <c r="C307" s="195" t="s">
        <v>273</v>
      </c>
      <c r="D307" s="20"/>
      <c r="E307" s="20"/>
      <c r="F307" s="20"/>
      <c r="G307" s="20"/>
      <c r="H307" s="66"/>
      <c r="I307" s="66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142"/>
      <c r="W307" s="141"/>
      <c r="X307" s="74"/>
      <c r="Y307" s="75"/>
      <c r="Z307" s="75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</row>
    <row r="308" spans="1:45" ht="15.75" customHeight="1">
      <c r="A308" s="20"/>
      <c r="B308" s="71"/>
      <c r="C308" s="20"/>
      <c r="D308" s="20"/>
      <c r="E308" s="20"/>
      <c r="F308" s="20"/>
      <c r="G308" s="20"/>
      <c r="H308" s="66"/>
      <c r="I308" s="66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142"/>
      <c r="W308" s="141"/>
      <c r="X308" s="74"/>
      <c r="Y308" s="75"/>
      <c r="Z308" s="75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</row>
    <row r="309" spans="1:45" ht="15" customHeight="1">
      <c r="A309" s="156"/>
      <c r="B309" s="157">
        <v>6</v>
      </c>
      <c r="C309" s="218" t="s">
        <v>274</v>
      </c>
      <c r="D309" s="156"/>
      <c r="E309" s="156"/>
      <c r="F309" s="156"/>
      <c r="G309" s="156"/>
      <c r="H309" s="159"/>
      <c r="I309" s="159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60"/>
      <c r="W309" s="161"/>
      <c r="X309" s="162"/>
      <c r="Y309" s="163"/>
      <c r="Z309" s="163"/>
      <c r="AA309" s="156"/>
      <c r="AB309" s="156"/>
      <c r="AC309" s="156"/>
      <c r="AD309" s="156"/>
      <c r="AE309" s="156"/>
      <c r="AF309" s="156"/>
      <c r="AG309" s="156"/>
      <c r="AH309" s="156"/>
      <c r="AI309" s="156"/>
      <c r="AJ309" s="156"/>
      <c r="AK309" s="156"/>
      <c r="AL309" s="156"/>
      <c r="AM309" s="156"/>
      <c r="AN309" s="156"/>
      <c r="AO309" s="156"/>
      <c r="AP309" s="156"/>
      <c r="AQ309" s="156"/>
      <c r="AR309" s="156"/>
      <c r="AS309" s="156"/>
    </row>
    <row r="310" spans="1:45" ht="15.75" customHeight="1">
      <c r="A310" s="20"/>
      <c r="B310" s="71"/>
      <c r="C310" s="20"/>
      <c r="D310" s="20"/>
      <c r="E310" s="20"/>
      <c r="F310" s="20"/>
      <c r="G310" s="20"/>
      <c r="H310" s="66"/>
      <c r="I310" s="66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142"/>
      <c r="W310" s="141"/>
      <c r="X310" s="74"/>
      <c r="Y310" s="75"/>
      <c r="Z310" s="75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</row>
    <row r="311" spans="1:45" ht="15" customHeight="1">
      <c r="A311" s="20"/>
      <c r="B311" s="71">
        <v>6</v>
      </c>
      <c r="C311" s="262" t="s">
        <v>274</v>
      </c>
      <c r="D311" s="20"/>
      <c r="E311" s="20"/>
      <c r="F311" s="20"/>
      <c r="G311" s="20"/>
      <c r="H311" s="66" t="s">
        <v>113</v>
      </c>
      <c r="I311" s="66"/>
      <c r="J311" s="263">
        <f t="shared" ref="J311:S311" si="177">J313*J322</f>
        <v>84.081908214590101</v>
      </c>
      <c r="K311" s="263">
        <f t="shared" si="177"/>
        <v>179.22551808858429</v>
      </c>
      <c r="L311" s="263">
        <f t="shared" si="177"/>
        <v>268.46522854318971</v>
      </c>
      <c r="M311" s="263">
        <f t="shared" si="177"/>
        <v>318.95654418208227</v>
      </c>
      <c r="N311" s="263">
        <f t="shared" si="177"/>
        <v>415.15958368207237</v>
      </c>
      <c r="O311" s="263">
        <f t="shared" si="177"/>
        <v>580.7170981079787</v>
      </c>
      <c r="P311" s="263">
        <f t="shared" si="177"/>
        <v>789.9448080106813</v>
      </c>
      <c r="Q311" s="263">
        <f t="shared" si="177"/>
        <v>1049.4008403535818</v>
      </c>
      <c r="R311" s="263">
        <f t="shared" si="177"/>
        <v>1365.7902653085516</v>
      </c>
      <c r="S311" s="263">
        <f t="shared" si="177"/>
        <v>1745.8578624510992</v>
      </c>
      <c r="T311" s="20"/>
      <c r="U311" s="20"/>
      <c r="V311" s="259">
        <f>IFERROR(POWER(M311/J311,1/3)-1,"N.A.")</f>
        <v>0.55958716582101964</v>
      </c>
      <c r="W311" s="260">
        <f>IFERROR(POWER(S311/M311,1/6)-1,"N.A.")</f>
        <v>0.32753575722071604</v>
      </c>
      <c r="X311" s="74"/>
      <c r="Y311" s="75"/>
      <c r="Z311" s="75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</row>
    <row r="312" spans="1:45" ht="15.75" customHeight="1">
      <c r="A312" s="20"/>
      <c r="B312" s="71"/>
      <c r="C312" s="20"/>
      <c r="D312" s="20"/>
      <c r="E312" s="20"/>
      <c r="F312" s="20"/>
      <c r="G312" s="20"/>
      <c r="H312" s="66"/>
      <c r="I312" s="66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0"/>
      <c r="U312" s="20"/>
      <c r="V312" s="142"/>
      <c r="W312" s="141"/>
      <c r="X312" s="74"/>
      <c r="Y312" s="75"/>
      <c r="Z312" s="75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</row>
    <row r="313" spans="1:45" ht="15" customHeight="1">
      <c r="A313" s="20"/>
      <c r="B313" s="71"/>
      <c r="C313" s="20" t="s">
        <v>275</v>
      </c>
      <c r="D313" s="23" t="s">
        <v>276</v>
      </c>
      <c r="E313" s="20"/>
      <c r="F313" s="20"/>
      <c r="G313" s="20"/>
      <c r="H313" s="66" t="s">
        <v>251</v>
      </c>
      <c r="I313" s="66"/>
      <c r="J313" s="263">
        <f>J315</f>
        <v>2.80273027381967</v>
      </c>
      <c r="K313" s="263">
        <f t="shared" ref="K313:S313" si="178">K315-J315</f>
        <v>6.3256065207735634</v>
      </c>
      <c r="L313" s="263">
        <f t="shared" si="178"/>
        <v>10.067446070369614</v>
      </c>
      <c r="M313" s="263">
        <f t="shared" si="178"/>
        <v>12.75826176728329</v>
      </c>
      <c r="N313" s="263">
        <f t="shared" si="178"/>
        <v>15.568484388077714</v>
      </c>
      <c r="O313" s="263">
        <f t="shared" si="178"/>
        <v>20.4958975802816</v>
      </c>
      <c r="P313" s="263">
        <f t="shared" si="178"/>
        <v>26.33149360035604</v>
      </c>
      <c r="Q313" s="263">
        <f t="shared" si="178"/>
        <v>33.138973905902574</v>
      </c>
      <c r="R313" s="263">
        <f t="shared" si="178"/>
        <v>40.973707959256544</v>
      </c>
      <c r="S313" s="263">
        <f t="shared" si="178"/>
        <v>49.881653212888551</v>
      </c>
      <c r="T313" s="20"/>
      <c r="U313" s="20"/>
      <c r="V313" s="142"/>
      <c r="W313" s="141"/>
      <c r="X313" s="74"/>
      <c r="Y313" s="75"/>
      <c r="Z313" s="75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</row>
    <row r="314" spans="1:45" ht="15" customHeight="1">
      <c r="A314" s="20"/>
      <c r="B314" s="71"/>
      <c r="C314" s="20"/>
      <c r="D314" s="23"/>
      <c r="E314" s="20"/>
      <c r="F314" s="20"/>
      <c r="G314" s="20"/>
      <c r="H314" s="66"/>
      <c r="I314" s="66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0"/>
      <c r="U314" s="20"/>
      <c r="V314" s="142"/>
      <c r="W314" s="141"/>
      <c r="X314" s="74"/>
      <c r="Y314" s="75"/>
      <c r="Z314" s="75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</row>
    <row r="315" spans="1:45" ht="15" customHeight="1">
      <c r="A315" s="20"/>
      <c r="B315" s="71"/>
      <c r="C315" s="20"/>
      <c r="D315" s="23" t="s">
        <v>277</v>
      </c>
      <c r="E315" s="20"/>
      <c r="F315" s="20"/>
      <c r="G315" s="20"/>
      <c r="H315" s="66" t="s">
        <v>251</v>
      </c>
      <c r="I315" s="66"/>
      <c r="J315" s="263">
        <f t="shared" ref="J315:S315" si="179">J317*J319</f>
        <v>2.80273027381967</v>
      </c>
      <c r="K315" s="263">
        <f t="shared" si="179"/>
        <v>9.128336794593233</v>
      </c>
      <c r="L315" s="263">
        <f t="shared" si="179"/>
        <v>19.195782864962847</v>
      </c>
      <c r="M315" s="263">
        <f t="shared" si="179"/>
        <v>31.954044632246138</v>
      </c>
      <c r="N315" s="263">
        <f t="shared" si="179"/>
        <v>47.522529020323852</v>
      </c>
      <c r="O315" s="263">
        <f t="shared" si="179"/>
        <v>68.018426600605451</v>
      </c>
      <c r="P315" s="263">
        <f t="shared" si="179"/>
        <v>94.349920200961492</v>
      </c>
      <c r="Q315" s="263">
        <f t="shared" si="179"/>
        <v>127.48889410686407</v>
      </c>
      <c r="R315" s="263">
        <f t="shared" si="179"/>
        <v>168.46260206612061</v>
      </c>
      <c r="S315" s="263">
        <f t="shared" si="179"/>
        <v>218.34425527900916</v>
      </c>
      <c r="T315" s="20"/>
      <c r="U315" s="20"/>
      <c r="V315" s="142"/>
      <c r="W315" s="141"/>
      <c r="X315" s="74"/>
      <c r="Y315" s="75"/>
      <c r="Z315" s="75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</row>
    <row r="316" spans="1:45" ht="15" customHeight="1">
      <c r="A316" s="20"/>
      <c r="B316" s="71"/>
      <c r="C316" s="20"/>
      <c r="D316" s="23"/>
      <c r="E316" s="20"/>
      <c r="F316" s="20"/>
      <c r="G316" s="20"/>
      <c r="H316" s="66"/>
      <c r="I316" s="66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0"/>
      <c r="U316" s="20"/>
      <c r="V316" s="142"/>
      <c r="W316" s="141"/>
      <c r="X316" s="74"/>
      <c r="Y316" s="75"/>
      <c r="Z316" s="75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</row>
    <row r="317" spans="1:45" ht="15" customHeight="1">
      <c r="A317" s="20"/>
      <c r="B317" s="71"/>
      <c r="C317" s="20"/>
      <c r="E317" s="23" t="s">
        <v>278</v>
      </c>
      <c r="F317" s="20"/>
      <c r="G317" s="20"/>
      <c r="H317" s="66" t="s">
        <v>251</v>
      </c>
      <c r="I317" s="66"/>
      <c r="J317" s="263">
        <f t="shared" ref="J317:S317" si="180">J325</f>
        <v>9342.434246065568</v>
      </c>
      <c r="K317" s="263">
        <f t="shared" si="180"/>
        <v>11410.42099324154</v>
      </c>
      <c r="L317" s="263">
        <f t="shared" si="180"/>
        <v>12797.188576641898</v>
      </c>
      <c r="M317" s="263">
        <f t="shared" si="180"/>
        <v>14524.565741930062</v>
      </c>
      <c r="N317" s="263">
        <f t="shared" si="180"/>
        <v>16387.078972525465</v>
      </c>
      <c r="O317" s="263">
        <f t="shared" si="180"/>
        <v>18383.358540704176</v>
      </c>
      <c r="P317" s="263">
        <f t="shared" si="180"/>
        <v>20510.852217600324</v>
      </c>
      <c r="Q317" s="263">
        <f t="shared" si="180"/>
        <v>22765.873947654298</v>
      </c>
      <c r="R317" s="263">
        <f t="shared" si="180"/>
        <v>25143.671950167256</v>
      </c>
      <c r="S317" s="263">
        <f t="shared" si="180"/>
        <v>27638.513326456854</v>
      </c>
      <c r="T317" s="20"/>
      <c r="U317" s="20"/>
      <c r="V317" s="142"/>
      <c r="W317" s="141"/>
      <c r="X317" s="74"/>
      <c r="Y317" s="75"/>
      <c r="Z317" s="75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</row>
    <row r="318" spans="1:45" ht="15" customHeight="1">
      <c r="A318" s="20"/>
      <c r="B318" s="71"/>
      <c r="C318" s="20"/>
      <c r="E318" s="23"/>
      <c r="F318" s="20"/>
      <c r="G318" s="20"/>
      <c r="H318" s="66"/>
      <c r="I318" s="66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0"/>
      <c r="U318" s="20"/>
      <c r="V318" s="142"/>
      <c r="W318" s="141"/>
      <c r="X318" s="74"/>
      <c r="Y318" s="75"/>
      <c r="Z318" s="75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</row>
    <row r="319" spans="1:45" ht="15" customHeight="1">
      <c r="A319" s="20"/>
      <c r="B319" s="71"/>
      <c r="C319" s="20"/>
      <c r="E319" s="23" t="s">
        <v>256</v>
      </c>
      <c r="F319" s="20"/>
      <c r="G319" s="20"/>
      <c r="H319" s="66" t="s">
        <v>69</v>
      </c>
      <c r="I319" s="66"/>
      <c r="J319" s="173">
        <v>2.9999999999999997E-4</v>
      </c>
      <c r="K319" s="173">
        <v>8.0000000000000004E-4</v>
      </c>
      <c r="L319" s="173">
        <f>0.15%</f>
        <v>1.5E-3</v>
      </c>
      <c r="M319" s="173">
        <v>2.2000000000000001E-3</v>
      </c>
      <c r="N319" s="176">
        <f t="shared" ref="N319:S319" si="181">M319+N320</f>
        <v>2.9000000000000002E-3</v>
      </c>
      <c r="O319" s="176">
        <f t="shared" si="181"/>
        <v>3.7000000000000002E-3</v>
      </c>
      <c r="P319" s="176">
        <f t="shared" si="181"/>
        <v>4.5999999999999999E-3</v>
      </c>
      <c r="Q319" s="176">
        <f t="shared" si="181"/>
        <v>5.5999999999999999E-3</v>
      </c>
      <c r="R319" s="176">
        <f t="shared" si="181"/>
        <v>6.7000000000000002E-3</v>
      </c>
      <c r="S319" s="176">
        <f t="shared" si="181"/>
        <v>7.9000000000000008E-3</v>
      </c>
      <c r="T319" s="20"/>
      <c r="U319" s="20"/>
      <c r="V319" s="142"/>
      <c r="W319" s="141"/>
      <c r="X319" s="74"/>
      <c r="Y319" s="75"/>
      <c r="Z319" s="75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</row>
    <row r="320" spans="1:45" ht="15.75" customHeight="1">
      <c r="A320" s="20"/>
      <c r="B320" s="71"/>
      <c r="C320" s="20"/>
      <c r="D320" s="20"/>
      <c r="E320" s="20"/>
      <c r="F320" s="20" t="s">
        <v>279</v>
      </c>
      <c r="G320" s="20"/>
      <c r="H320" s="66"/>
      <c r="I320" s="66"/>
      <c r="J320" s="263"/>
      <c r="K320" s="173">
        <f t="shared" ref="K320:M320" si="182">K319-J319</f>
        <v>5.0000000000000001E-4</v>
      </c>
      <c r="L320" s="173">
        <f t="shared" si="182"/>
        <v>6.9999999999999999E-4</v>
      </c>
      <c r="M320" s="173">
        <f t="shared" si="182"/>
        <v>7.000000000000001E-4</v>
      </c>
      <c r="N320" s="173">
        <v>6.9999999999999999E-4</v>
      </c>
      <c r="O320" s="173">
        <f t="shared" ref="O320:S320" si="183">N320+$T$320</f>
        <v>8.0000000000000004E-4</v>
      </c>
      <c r="P320" s="173">
        <f t="shared" si="183"/>
        <v>9.0000000000000008E-4</v>
      </c>
      <c r="Q320" s="173">
        <f t="shared" si="183"/>
        <v>1E-3</v>
      </c>
      <c r="R320" s="173">
        <f t="shared" si="183"/>
        <v>1.1000000000000001E-3</v>
      </c>
      <c r="S320" s="173">
        <f t="shared" si="183"/>
        <v>1.2000000000000001E-3</v>
      </c>
      <c r="T320" s="176">
        <v>1E-4</v>
      </c>
      <c r="U320" s="20"/>
      <c r="V320" s="142"/>
      <c r="W320" s="141"/>
      <c r="X320" s="74"/>
      <c r="Y320" s="75"/>
      <c r="Z320" s="75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</row>
    <row r="321" spans="1:45" ht="15" customHeight="1">
      <c r="A321" s="20"/>
      <c r="B321" s="71"/>
      <c r="C321" s="23"/>
      <c r="D321" s="23"/>
      <c r="E321" s="23"/>
      <c r="F321" s="23"/>
      <c r="G321" s="23"/>
      <c r="H321" s="66"/>
      <c r="I321" s="82"/>
      <c r="J321" s="264"/>
      <c r="K321" s="263"/>
      <c r="L321" s="263"/>
      <c r="M321" s="264"/>
      <c r="N321" s="263"/>
      <c r="O321" s="263"/>
      <c r="P321" s="263"/>
      <c r="Q321" s="263"/>
      <c r="R321" s="263"/>
      <c r="S321" s="264"/>
      <c r="T321" s="23"/>
      <c r="U321" s="23"/>
      <c r="V321" s="265"/>
      <c r="W321" s="266"/>
      <c r="X321" s="30"/>
      <c r="Y321" s="31"/>
      <c r="Z321" s="31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</row>
    <row r="322" spans="1:45" ht="15" customHeight="1">
      <c r="A322" s="20"/>
      <c r="B322" s="71"/>
      <c r="C322" s="23" t="s">
        <v>280</v>
      </c>
      <c r="D322" s="23" t="s">
        <v>281</v>
      </c>
      <c r="E322" s="23"/>
      <c r="F322" s="23"/>
      <c r="G322" s="23"/>
      <c r="H322" s="66" t="s">
        <v>140</v>
      </c>
      <c r="I322" s="82"/>
      <c r="J322" s="264">
        <v>30</v>
      </c>
      <c r="K322" s="263">
        <f t="shared" ref="K322:L322" si="184">J322+($M322-$J322)/3</f>
        <v>28.333333333333332</v>
      </c>
      <c r="L322" s="263">
        <f t="shared" si="184"/>
        <v>26.666666666666664</v>
      </c>
      <c r="M322" s="264">
        <v>25</v>
      </c>
      <c r="N322" s="263">
        <f t="shared" ref="N322:R322" si="185">M322+($S$322-$M$322)/6</f>
        <v>26.666666666666668</v>
      </c>
      <c r="O322" s="263">
        <f t="shared" si="185"/>
        <v>28.333333333333336</v>
      </c>
      <c r="P322" s="263">
        <f t="shared" si="185"/>
        <v>30.000000000000004</v>
      </c>
      <c r="Q322" s="263">
        <f t="shared" si="185"/>
        <v>31.666666666666671</v>
      </c>
      <c r="R322" s="263">
        <f t="shared" si="185"/>
        <v>33.333333333333336</v>
      </c>
      <c r="S322" s="264">
        <v>35</v>
      </c>
      <c r="T322" s="23"/>
      <c r="U322" s="23"/>
      <c r="V322" s="265"/>
      <c r="W322" s="266"/>
      <c r="X322" s="30"/>
      <c r="Y322" s="31"/>
      <c r="Z322" s="31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</row>
    <row r="323" spans="1:45" ht="15" customHeight="1">
      <c r="A323" s="20"/>
      <c r="B323" s="71"/>
      <c r="C323" s="23"/>
      <c r="D323" s="23"/>
      <c r="E323" s="23"/>
      <c r="F323" s="23"/>
      <c r="G323" s="23"/>
      <c r="H323" s="82"/>
      <c r="I323" s="82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65"/>
      <c r="W323" s="266"/>
      <c r="X323" s="30"/>
      <c r="Y323" s="31"/>
      <c r="Z323" s="31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</row>
    <row r="324" spans="1:45" ht="15" customHeight="1">
      <c r="A324" s="20"/>
      <c r="B324" s="71"/>
      <c r="C324" s="195"/>
      <c r="D324" s="20"/>
      <c r="E324" s="20"/>
      <c r="F324" s="20"/>
      <c r="G324" s="20"/>
      <c r="H324" s="234"/>
      <c r="I324" s="82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65"/>
      <c r="W324" s="266"/>
      <c r="X324" s="30"/>
      <c r="Y324" s="31"/>
      <c r="Z324" s="31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</row>
    <row r="325" spans="1:45" ht="15" customHeight="1">
      <c r="A325" s="20"/>
      <c r="B325" s="71"/>
      <c r="C325" s="195"/>
      <c r="D325" s="20" t="s">
        <v>282</v>
      </c>
      <c r="E325" s="20"/>
      <c r="F325" s="20"/>
      <c r="G325" s="20"/>
      <c r="H325" s="66" t="s">
        <v>251</v>
      </c>
      <c r="I325" s="82"/>
      <c r="J325" s="250">
        <f t="shared" ref="J325:L325" si="186">K325/(1+K329)</f>
        <v>9342.434246065568</v>
      </c>
      <c r="K325" s="250">
        <f t="shared" si="186"/>
        <v>11410.42099324154</v>
      </c>
      <c r="L325" s="250">
        <f t="shared" si="186"/>
        <v>12797.188576641898</v>
      </c>
      <c r="M325" s="250">
        <f>M326*M328/M327</f>
        <v>14524.565741930062</v>
      </c>
      <c r="N325" s="250">
        <f t="shared" ref="N325:S325" si="187">M325*(1+N329)</f>
        <v>16387.078972525465</v>
      </c>
      <c r="O325" s="250">
        <f t="shared" si="187"/>
        <v>18383.358540704176</v>
      </c>
      <c r="P325" s="250">
        <f t="shared" si="187"/>
        <v>20510.852217600324</v>
      </c>
      <c r="Q325" s="250">
        <f t="shared" si="187"/>
        <v>22765.873947654298</v>
      </c>
      <c r="R325" s="250">
        <f t="shared" si="187"/>
        <v>25143.671950167256</v>
      </c>
      <c r="S325" s="250">
        <f t="shared" si="187"/>
        <v>27638.513326456854</v>
      </c>
      <c r="T325" s="23"/>
      <c r="U325" s="23"/>
      <c r="V325" s="265"/>
      <c r="W325" s="266"/>
      <c r="X325" s="30"/>
      <c r="Y325" s="31"/>
      <c r="Z325" s="31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</row>
    <row r="326" spans="1:45" ht="15" customHeight="1">
      <c r="A326" s="20"/>
      <c r="B326" s="71"/>
      <c r="C326" s="195"/>
      <c r="D326" s="20"/>
      <c r="E326" s="20" t="s">
        <v>283</v>
      </c>
      <c r="F326" s="20"/>
      <c r="G326" s="20"/>
      <c r="H326" s="66" t="s">
        <v>251</v>
      </c>
      <c r="I326" s="82"/>
      <c r="J326" s="23"/>
      <c r="K326" s="23"/>
      <c r="L326" s="23"/>
      <c r="M326" s="174">
        <v>20267</v>
      </c>
      <c r="N326" s="23">
        <v>33267</v>
      </c>
      <c r="O326" s="23"/>
      <c r="P326" s="23"/>
      <c r="Q326" s="23"/>
      <c r="R326" s="23"/>
      <c r="S326" s="23"/>
      <c r="T326" s="23"/>
      <c r="U326" s="23"/>
      <c r="V326" s="265"/>
      <c r="W326" s="266"/>
      <c r="X326" s="30"/>
      <c r="Y326" s="31"/>
      <c r="Z326" s="31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</row>
    <row r="327" spans="1:45" ht="15" customHeight="1">
      <c r="A327" s="20"/>
      <c r="B327" s="71"/>
      <c r="C327" s="195"/>
      <c r="D327" s="20"/>
      <c r="E327" s="20" t="s">
        <v>284</v>
      </c>
      <c r="F327" s="20"/>
      <c r="G327" s="20"/>
      <c r="H327" s="66" t="s">
        <v>251</v>
      </c>
      <c r="I327" s="82"/>
      <c r="J327" s="23">
        <v>703370</v>
      </c>
      <c r="K327" s="23">
        <v>750650</v>
      </c>
      <c r="L327" s="23">
        <v>815660</v>
      </c>
      <c r="M327" s="267">
        <v>833030</v>
      </c>
      <c r="O327" s="23"/>
      <c r="P327" s="23"/>
      <c r="Q327" s="23"/>
      <c r="R327" s="23"/>
      <c r="S327" s="23"/>
      <c r="T327" s="23"/>
      <c r="U327" s="23"/>
      <c r="V327" s="265"/>
      <c r="W327" s="266"/>
      <c r="X327" s="30"/>
      <c r="Y327" s="268" t="s">
        <v>285</v>
      </c>
      <c r="Z327" s="31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</row>
    <row r="328" spans="1:45" ht="15" customHeight="1">
      <c r="A328" s="20"/>
      <c r="B328" s="71"/>
      <c r="D328" s="20"/>
      <c r="E328" s="20" t="s">
        <v>286</v>
      </c>
      <c r="F328" s="20"/>
      <c r="G328" s="20"/>
      <c r="H328" s="66" t="s">
        <v>251</v>
      </c>
      <c r="I328" s="82"/>
      <c r="J328" s="23">
        <v>384000</v>
      </c>
      <c r="K328" s="23">
        <v>469000</v>
      </c>
      <c r="L328" s="23">
        <v>526000</v>
      </c>
      <c r="M328" s="174">
        <v>597000</v>
      </c>
      <c r="N328" s="23"/>
      <c r="O328" s="23"/>
      <c r="P328" s="23"/>
      <c r="Q328" s="23"/>
      <c r="R328" s="23"/>
      <c r="S328" s="23"/>
      <c r="T328" s="23"/>
      <c r="U328" s="23"/>
      <c r="V328" s="265"/>
      <c r="W328" s="266"/>
      <c r="X328" s="30"/>
      <c r="Y328" s="268" t="s">
        <v>287</v>
      </c>
      <c r="Z328" s="31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</row>
    <row r="329" spans="1:45" ht="15" customHeight="1">
      <c r="A329" s="20"/>
      <c r="B329" s="71"/>
      <c r="C329" s="195"/>
      <c r="D329" s="20"/>
      <c r="E329" s="20"/>
      <c r="F329" s="20" t="s">
        <v>83</v>
      </c>
      <c r="G329" s="20"/>
      <c r="H329" s="234"/>
      <c r="I329" s="82"/>
      <c r="J329" s="23"/>
      <c r="K329" s="27">
        <f t="shared" ref="K329:M329" si="188">K328/J328-1</f>
        <v>0.22135416666666674</v>
      </c>
      <c r="L329" s="27">
        <f t="shared" si="188"/>
        <v>0.12153518123667384</v>
      </c>
      <c r="M329" s="27">
        <f t="shared" si="188"/>
        <v>0.13498098859315588</v>
      </c>
      <c r="N329" s="27">
        <f t="shared" ref="N329:S329" si="189">M329*$T$329</f>
        <v>0.12823193916349809</v>
      </c>
      <c r="O329" s="27">
        <f t="shared" si="189"/>
        <v>0.12182034220532319</v>
      </c>
      <c r="P329" s="27">
        <f t="shared" si="189"/>
        <v>0.11572932509505703</v>
      </c>
      <c r="Q329" s="27">
        <f t="shared" si="189"/>
        <v>0.10994285884030416</v>
      </c>
      <c r="R329" s="27">
        <f t="shared" si="189"/>
        <v>0.10444571589828895</v>
      </c>
      <c r="S329" s="27">
        <f t="shared" si="189"/>
        <v>9.9223430103374505E-2</v>
      </c>
      <c r="T329" s="120">
        <f>0.95</f>
        <v>0.95</v>
      </c>
      <c r="U329" s="23"/>
      <c r="V329" s="265"/>
      <c r="W329" s="266"/>
      <c r="X329" s="30"/>
      <c r="Y329" s="31"/>
      <c r="Z329" s="31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</row>
    <row r="330" spans="1:45" ht="15" customHeight="1">
      <c r="A330" s="20"/>
      <c r="B330" s="71"/>
      <c r="C330" s="195" t="s">
        <v>96</v>
      </c>
      <c r="D330" s="20"/>
      <c r="E330" s="20"/>
      <c r="F330" s="20"/>
      <c r="G330" s="20"/>
      <c r="H330" s="234"/>
      <c r="I330" s="82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65"/>
      <c r="W330" s="266"/>
      <c r="X330" s="30"/>
      <c r="Y330" s="31"/>
      <c r="Z330" s="31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</row>
    <row r="331" spans="1:45" ht="15" customHeight="1">
      <c r="A331" s="20"/>
      <c r="B331" s="71"/>
      <c r="C331" s="195" t="s">
        <v>288</v>
      </c>
      <c r="D331" s="20"/>
      <c r="E331" s="20"/>
      <c r="F331" s="20"/>
      <c r="G331" s="20"/>
      <c r="H331" s="234"/>
      <c r="I331" s="82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65"/>
      <c r="W331" s="266"/>
      <c r="X331" s="30"/>
      <c r="Y331" s="31"/>
      <c r="Z331" s="31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</row>
    <row r="332" spans="1:45" ht="15" customHeight="1">
      <c r="A332" s="20"/>
      <c r="B332" s="71"/>
      <c r="C332" s="20"/>
      <c r="D332" s="20"/>
      <c r="E332" s="20"/>
      <c r="F332" s="20"/>
      <c r="G332" s="20"/>
      <c r="H332" s="234"/>
      <c r="I332" s="66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142"/>
      <c r="W332" s="141"/>
      <c r="X332" s="74"/>
      <c r="Y332" s="75"/>
      <c r="Z332" s="75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</row>
    <row r="333" spans="1:45" ht="15.75" customHeight="1">
      <c r="A333" s="20"/>
      <c r="B333" s="71"/>
      <c r="C333" s="269" t="s">
        <v>289</v>
      </c>
      <c r="D333" s="20"/>
      <c r="E333" s="20"/>
      <c r="F333" s="20"/>
      <c r="G333" s="20"/>
      <c r="H333" s="66"/>
      <c r="I333" s="66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142"/>
      <c r="W333" s="141"/>
      <c r="X333" s="74"/>
      <c r="Y333" s="167" t="s">
        <v>290</v>
      </c>
      <c r="Z333" s="75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</row>
    <row r="334" spans="1:45" ht="15" customHeight="1">
      <c r="A334" s="20"/>
      <c r="B334" s="71"/>
      <c r="C334" s="20"/>
      <c r="D334" s="195"/>
      <c r="E334" s="20"/>
      <c r="F334" s="20"/>
      <c r="G334" s="20"/>
      <c r="H334" s="66"/>
      <c r="I334" s="66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142"/>
      <c r="W334" s="141"/>
      <c r="X334" s="74"/>
      <c r="Y334" s="75"/>
      <c r="Z334" s="75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</row>
    <row r="335" spans="1:45" ht="15" customHeight="1">
      <c r="A335" s="156"/>
      <c r="B335" s="157">
        <v>7</v>
      </c>
      <c r="C335" s="218" t="s">
        <v>291</v>
      </c>
      <c r="D335" s="156"/>
      <c r="E335" s="156"/>
      <c r="F335" s="156"/>
      <c r="G335" s="156"/>
      <c r="H335" s="159"/>
      <c r="I335" s="159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60"/>
      <c r="W335" s="161"/>
      <c r="X335" s="162"/>
      <c r="Y335" s="163"/>
      <c r="Z335" s="163"/>
      <c r="AA335" s="156"/>
      <c r="AB335" s="156"/>
      <c r="AC335" s="156"/>
      <c r="AD335" s="156"/>
      <c r="AE335" s="156"/>
      <c r="AF335" s="156"/>
      <c r="AG335" s="156"/>
      <c r="AH335" s="156"/>
      <c r="AI335" s="156"/>
      <c r="AJ335" s="156"/>
      <c r="AK335" s="156"/>
      <c r="AL335" s="156"/>
      <c r="AM335" s="156"/>
      <c r="AN335" s="156"/>
      <c r="AO335" s="156"/>
      <c r="AP335" s="156"/>
      <c r="AQ335" s="156"/>
      <c r="AR335" s="156"/>
      <c r="AS335" s="156"/>
    </row>
    <row r="336" spans="1:45" ht="15" customHeight="1">
      <c r="A336" s="20"/>
      <c r="B336" s="71"/>
      <c r="C336" s="20"/>
      <c r="D336" s="20"/>
      <c r="E336" s="20"/>
      <c r="F336" s="20"/>
      <c r="G336" s="20"/>
      <c r="H336" s="234"/>
      <c r="I336" s="66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142"/>
      <c r="W336" s="141"/>
      <c r="X336" s="74"/>
      <c r="Y336" s="75"/>
      <c r="Z336" s="75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</row>
    <row r="337" spans="1:45" ht="15" customHeight="1">
      <c r="A337" s="20"/>
      <c r="B337" s="71">
        <v>7</v>
      </c>
      <c r="C337" s="76" t="s">
        <v>292</v>
      </c>
      <c r="D337" s="20"/>
      <c r="E337" s="20"/>
      <c r="F337" s="20"/>
      <c r="G337" s="20"/>
      <c r="H337" s="234" t="s">
        <v>113</v>
      </c>
      <c r="I337" s="66"/>
      <c r="J337" s="20"/>
      <c r="K337" s="20"/>
      <c r="L337" s="20"/>
      <c r="M337" s="20"/>
      <c r="N337" s="235">
        <f t="shared" ref="N337:S337" si="190">N339*N341/1000</f>
        <v>3</v>
      </c>
      <c r="O337" s="235">
        <f t="shared" si="190"/>
        <v>26.978999999999999</v>
      </c>
      <c r="P337" s="235">
        <f t="shared" si="190"/>
        <v>109.93049999999999</v>
      </c>
      <c r="Q337" s="235">
        <f t="shared" si="190"/>
        <v>358.10606250000001</v>
      </c>
      <c r="R337" s="235">
        <f t="shared" si="190"/>
        <v>1875.4739999999999</v>
      </c>
      <c r="S337" s="235">
        <f t="shared" si="190"/>
        <v>3941.4903749999999</v>
      </c>
      <c r="T337" s="20"/>
      <c r="U337" s="20"/>
      <c r="V337" s="259" t="str">
        <f>IFERROR(POWER(M337/J337,1/3)-1,"N.A.")</f>
        <v>N.A.</v>
      </c>
      <c r="W337" s="260">
        <f>IFERROR(POWER(S337/N337,1/6)-1,"N.A.")</f>
        <v>2.3094554248675898</v>
      </c>
      <c r="X337" s="74"/>
      <c r="Y337" s="75"/>
      <c r="Z337" s="75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</row>
    <row r="338" spans="1:45" ht="15" customHeight="1">
      <c r="A338" s="20"/>
      <c r="B338" s="71"/>
      <c r="C338" s="20"/>
      <c r="D338" s="195"/>
      <c r="E338" s="20"/>
      <c r="F338" s="20"/>
      <c r="G338" s="20"/>
      <c r="H338" s="234"/>
      <c r="I338" s="66"/>
      <c r="J338" s="20"/>
      <c r="K338" s="20"/>
      <c r="L338" s="20"/>
      <c r="M338" s="20"/>
      <c r="N338" s="20"/>
      <c r="O338" s="20"/>
      <c r="P338" s="20"/>
      <c r="Q338" s="20"/>
      <c r="R338" s="20">
        <f t="shared" ref="R338:S338" si="191">R337/1000</f>
        <v>1.8754739999999999</v>
      </c>
      <c r="S338" s="20">
        <f t="shared" si="191"/>
        <v>3.9414903749999999</v>
      </c>
      <c r="T338" s="20"/>
      <c r="U338" s="20"/>
      <c r="V338" s="142"/>
      <c r="W338" s="141"/>
      <c r="X338" s="74"/>
      <c r="Y338" s="75"/>
      <c r="Z338" s="75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</row>
    <row r="339" spans="1:45" ht="15.75" customHeight="1">
      <c r="A339" s="20"/>
      <c r="B339" s="71" t="s">
        <v>293</v>
      </c>
      <c r="C339" s="20" t="s">
        <v>294</v>
      </c>
      <c r="D339" s="20"/>
      <c r="E339" s="20"/>
      <c r="F339" s="20"/>
      <c r="G339" s="20"/>
      <c r="H339" s="66" t="s">
        <v>117</v>
      </c>
      <c r="I339" s="66"/>
      <c r="J339" s="20">
        <v>0</v>
      </c>
      <c r="K339" s="20">
        <v>0</v>
      </c>
      <c r="L339" s="20">
        <v>0</v>
      </c>
      <c r="M339" s="20">
        <v>0</v>
      </c>
      <c r="N339" s="270">
        <v>30</v>
      </c>
      <c r="O339" s="271">
        <f t="shared" ref="O339:S339" si="192">N339*(1+O340)</f>
        <v>51</v>
      </c>
      <c r="P339" s="271">
        <f t="shared" si="192"/>
        <v>114.75</v>
      </c>
      <c r="Q339" s="271">
        <f t="shared" si="192"/>
        <v>258.1875</v>
      </c>
      <c r="R339" s="271">
        <f t="shared" si="192"/>
        <v>1032.75</v>
      </c>
      <c r="S339" s="271">
        <f t="shared" si="192"/>
        <v>1755.675</v>
      </c>
      <c r="T339" s="20"/>
      <c r="U339" s="20"/>
      <c r="V339" s="259" t="str">
        <f t="shared" ref="V339:V341" si="193">IFERROR(POWER(M339/J339,1/3)-1,"N.A.")</f>
        <v>N.A.</v>
      </c>
      <c r="W339" s="260">
        <f>IFERROR(POWER(S339/N339,1/6)-1,"N.A.")</f>
        <v>0.97039733626130453</v>
      </c>
      <c r="X339" s="74"/>
      <c r="Y339" s="75"/>
      <c r="Z339" s="75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</row>
    <row r="340" spans="1:45" ht="15" customHeight="1">
      <c r="A340" s="20"/>
      <c r="B340" s="71"/>
      <c r="C340" s="20"/>
      <c r="D340" s="195" t="s">
        <v>157</v>
      </c>
      <c r="E340" s="20"/>
      <c r="F340" s="20"/>
      <c r="G340" s="20"/>
      <c r="H340" s="66"/>
      <c r="I340" s="66"/>
      <c r="J340" s="20"/>
      <c r="K340" s="20"/>
      <c r="L340" s="20"/>
      <c r="M340" s="20"/>
      <c r="N340" s="20"/>
      <c r="O340" s="119">
        <v>0.7</v>
      </c>
      <c r="P340" s="119">
        <v>1.25</v>
      </c>
      <c r="Q340" s="119">
        <v>1.25</v>
      </c>
      <c r="R340" s="119">
        <v>3</v>
      </c>
      <c r="S340" s="119">
        <v>0.7</v>
      </c>
      <c r="T340" s="20"/>
      <c r="U340" s="20"/>
      <c r="V340" s="259" t="str">
        <f t="shared" si="193"/>
        <v>N.A.</v>
      </c>
      <c r="W340" s="260" t="str">
        <f t="shared" ref="W340:W341" si="194">IFERROR(POWER(S340/M340,1/6)-1,"N.A.")</f>
        <v>N.A.</v>
      </c>
      <c r="X340" s="74"/>
      <c r="Y340" s="75"/>
      <c r="Z340" s="75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</row>
    <row r="341" spans="1:45" ht="15.75" customHeight="1">
      <c r="A341" s="20"/>
      <c r="B341" s="71" t="s">
        <v>295</v>
      </c>
      <c r="C341" s="20" t="s">
        <v>296</v>
      </c>
      <c r="D341" s="20"/>
      <c r="E341" s="20"/>
      <c r="F341" s="20"/>
      <c r="G341" s="20"/>
      <c r="H341" s="66" t="s">
        <v>297</v>
      </c>
      <c r="I341" s="66"/>
      <c r="J341" s="20"/>
      <c r="K341" s="20"/>
      <c r="L341" s="20"/>
      <c r="M341" s="20"/>
      <c r="N341" s="270">
        <v>100</v>
      </c>
      <c r="O341" s="271">
        <f t="shared" ref="O341:R341" si="195">N341+($S341-$N341)/5</f>
        <v>529</v>
      </c>
      <c r="P341" s="271">
        <f t="shared" si="195"/>
        <v>958</v>
      </c>
      <c r="Q341" s="271">
        <f t="shared" si="195"/>
        <v>1387</v>
      </c>
      <c r="R341" s="271">
        <f t="shared" si="195"/>
        <v>1816</v>
      </c>
      <c r="S341" s="171">
        <f>SUMPRODUCT(G360:G363,G354:G357)</f>
        <v>2245</v>
      </c>
      <c r="T341" s="20"/>
      <c r="U341" s="20"/>
      <c r="V341" s="259" t="str">
        <f t="shared" si="193"/>
        <v>N.A.</v>
      </c>
      <c r="W341" s="260" t="str">
        <f t="shared" si="194"/>
        <v>N.A.</v>
      </c>
      <c r="X341" s="74"/>
      <c r="Y341" s="75"/>
      <c r="Z341" s="75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</row>
    <row r="342" spans="1:45" ht="15.75" customHeight="1">
      <c r="A342" s="20"/>
      <c r="B342" s="71"/>
      <c r="C342" s="20"/>
      <c r="D342" s="20"/>
      <c r="E342" s="20"/>
      <c r="F342" s="20"/>
      <c r="G342" s="20"/>
      <c r="H342" s="66"/>
      <c r="I342" s="66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142"/>
      <c r="W342" s="141"/>
      <c r="X342" s="74"/>
      <c r="Y342" s="75"/>
      <c r="Z342" s="75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</row>
    <row r="343" spans="1:45" ht="15.75" customHeight="1">
      <c r="A343" s="20"/>
      <c r="B343" s="71"/>
      <c r="C343" s="20"/>
      <c r="D343" s="20"/>
      <c r="E343" s="20"/>
      <c r="F343" s="20"/>
      <c r="G343" s="20"/>
      <c r="H343" s="66"/>
      <c r="I343" s="66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142"/>
      <c r="W343" s="141"/>
      <c r="X343" s="74"/>
      <c r="Y343" s="75"/>
      <c r="Z343" s="75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</row>
    <row r="344" spans="1:45" ht="15.75" customHeight="1">
      <c r="A344" s="20"/>
      <c r="B344" s="71"/>
      <c r="C344" s="87" t="s">
        <v>298</v>
      </c>
      <c r="D344" s="133"/>
      <c r="E344" s="133"/>
      <c r="F344" s="133"/>
      <c r="G344" s="133"/>
      <c r="H344" s="90"/>
      <c r="I344" s="90"/>
      <c r="J344" s="133"/>
      <c r="K344" s="133"/>
      <c r="L344" s="133"/>
      <c r="M344" s="139"/>
      <c r="N344" s="20"/>
      <c r="O344" s="20"/>
      <c r="P344" s="20"/>
      <c r="Q344" s="20"/>
      <c r="R344" s="20"/>
      <c r="S344" s="20"/>
      <c r="T344" s="20"/>
      <c r="U344" s="20"/>
      <c r="V344" s="142"/>
      <c r="W344" s="141"/>
      <c r="X344" s="74"/>
      <c r="Y344" s="75"/>
      <c r="Z344" s="75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</row>
    <row r="345" spans="1:45" ht="15.75" customHeight="1">
      <c r="A345" s="20"/>
      <c r="B345" s="71"/>
      <c r="C345" s="142" t="s">
        <v>299</v>
      </c>
      <c r="E345" s="20"/>
      <c r="F345" s="20"/>
      <c r="G345" s="20"/>
      <c r="H345" s="66"/>
      <c r="I345" s="66"/>
      <c r="J345" s="20"/>
      <c r="K345" s="20"/>
      <c r="L345" s="20"/>
      <c r="M345" s="141"/>
      <c r="N345" s="20"/>
      <c r="O345" s="20"/>
      <c r="P345" s="20"/>
      <c r="Q345" s="20"/>
      <c r="R345" s="20"/>
      <c r="S345" s="20"/>
      <c r="T345" s="20"/>
      <c r="U345" s="20"/>
      <c r="V345" s="142"/>
      <c r="W345" s="141"/>
      <c r="X345" s="74"/>
      <c r="Y345" s="75"/>
      <c r="Z345" s="75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</row>
    <row r="346" spans="1:45" ht="15.75" customHeight="1">
      <c r="A346" s="20"/>
      <c r="B346" s="71"/>
      <c r="C346" s="142"/>
      <c r="D346" s="20" t="s">
        <v>300</v>
      </c>
      <c r="E346" s="20"/>
      <c r="F346" s="20"/>
      <c r="G346" s="20"/>
      <c r="H346" s="66" t="s">
        <v>301</v>
      </c>
      <c r="I346" s="66"/>
      <c r="J346" s="20"/>
      <c r="K346" s="20"/>
      <c r="L346" s="20"/>
      <c r="M346" s="141">
        <f>AVERAGE(50,75)+AVERAGE(45,65)</f>
        <v>117.5</v>
      </c>
      <c r="N346" s="20"/>
      <c r="O346" s="20"/>
      <c r="P346" s="20"/>
      <c r="Q346" s="20"/>
      <c r="R346" s="20"/>
      <c r="S346" s="20"/>
      <c r="T346" s="20"/>
      <c r="U346" s="20"/>
      <c r="V346" s="142"/>
      <c r="W346" s="141"/>
      <c r="X346" s="74"/>
      <c r="Y346" s="272" t="s">
        <v>302</v>
      </c>
      <c r="Z346" s="75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</row>
    <row r="347" spans="1:45" ht="15.75" customHeight="1">
      <c r="A347" s="20"/>
      <c r="B347" s="71"/>
      <c r="C347" s="145"/>
      <c r="D347" s="147" t="s">
        <v>303</v>
      </c>
      <c r="E347" s="147"/>
      <c r="F347" s="147"/>
      <c r="G347" s="147"/>
      <c r="H347" s="149" t="s">
        <v>301</v>
      </c>
      <c r="I347" s="149"/>
      <c r="J347" s="147"/>
      <c r="K347" s="147"/>
      <c r="L347" s="147"/>
      <c r="M347" s="155">
        <f>2*55</f>
        <v>110</v>
      </c>
      <c r="N347" s="20"/>
      <c r="O347" s="20"/>
      <c r="P347" s="20"/>
      <c r="Q347" s="20"/>
      <c r="R347" s="20"/>
      <c r="S347" s="20"/>
      <c r="T347" s="20"/>
      <c r="U347" s="20"/>
      <c r="V347" s="142"/>
      <c r="W347" s="141"/>
      <c r="X347" s="74"/>
      <c r="Y347" s="272" t="s">
        <v>304</v>
      </c>
      <c r="Z347" s="75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</row>
    <row r="348" spans="1:45" ht="15.75" customHeight="1">
      <c r="A348" s="20"/>
      <c r="B348" s="71"/>
      <c r="C348" s="20"/>
      <c r="D348" s="20"/>
      <c r="E348" s="20"/>
      <c r="F348" s="20"/>
      <c r="G348" s="20"/>
      <c r="H348" s="66"/>
      <c r="I348" s="66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142"/>
      <c r="W348" s="141"/>
      <c r="X348" s="74"/>
      <c r="Y348" s="75"/>
      <c r="Z348" s="75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</row>
    <row r="349" spans="1:45" ht="15.75" customHeight="1">
      <c r="A349" s="20"/>
      <c r="B349" s="71"/>
      <c r="C349" s="20" t="s">
        <v>305</v>
      </c>
      <c r="D349" s="20"/>
      <c r="E349" s="20"/>
      <c r="F349" s="20"/>
      <c r="G349" s="20"/>
      <c r="H349" s="66"/>
      <c r="I349" s="66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142"/>
      <c r="W349" s="141"/>
      <c r="X349" s="74"/>
      <c r="Y349" s="75"/>
      <c r="Z349" s="75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</row>
    <row r="350" spans="1:45" ht="15.75" customHeight="1">
      <c r="A350" s="20"/>
      <c r="B350" s="71"/>
      <c r="C350" s="20" t="s">
        <v>306</v>
      </c>
      <c r="D350" s="20"/>
      <c r="E350" s="20"/>
      <c r="F350" s="20"/>
      <c r="G350" s="20"/>
      <c r="H350" s="66"/>
      <c r="I350" s="66"/>
      <c r="J350" s="20"/>
      <c r="K350" s="20"/>
      <c r="L350" s="20"/>
      <c r="M350" s="20"/>
      <c r="O350" s="20"/>
      <c r="P350" s="20"/>
      <c r="Q350" s="20"/>
      <c r="R350" s="20"/>
      <c r="S350" s="20"/>
      <c r="T350" s="20"/>
      <c r="U350" s="20"/>
      <c r="V350" s="142"/>
      <c r="W350" s="141"/>
      <c r="X350" s="74"/>
      <c r="Y350" s="167" t="s">
        <v>307</v>
      </c>
      <c r="Z350" s="75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</row>
    <row r="351" spans="1:45" ht="15.75" customHeight="1">
      <c r="A351" s="20"/>
      <c r="B351" s="71"/>
      <c r="C351" s="20"/>
      <c r="D351" s="20"/>
      <c r="E351" s="20"/>
      <c r="F351" s="20"/>
      <c r="G351" s="20"/>
      <c r="H351" s="66"/>
      <c r="I351" s="66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142"/>
      <c r="W351" s="141"/>
      <c r="X351" s="74"/>
      <c r="Y351" s="75"/>
      <c r="Z351" s="75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</row>
    <row r="352" spans="1:45" ht="15.75" customHeight="1">
      <c r="A352" s="20"/>
      <c r="B352" s="71"/>
      <c r="C352" s="76" t="s">
        <v>308</v>
      </c>
      <c r="D352" s="20"/>
      <c r="E352" s="20"/>
      <c r="F352" s="20"/>
      <c r="G352" s="20"/>
      <c r="H352" s="66"/>
      <c r="I352" s="66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142"/>
      <c r="W352" s="141"/>
      <c r="X352" s="74"/>
      <c r="Y352" s="75"/>
      <c r="Z352" s="75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</row>
    <row r="353" spans="1:45" ht="15.75" customHeight="1">
      <c r="A353" s="20"/>
      <c r="B353" s="71"/>
      <c r="D353" s="273" t="s">
        <v>309</v>
      </c>
      <c r="E353" s="20"/>
      <c r="F353" s="20"/>
      <c r="G353" s="77"/>
      <c r="H353" s="66"/>
      <c r="I353" s="66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142"/>
      <c r="W353" s="141"/>
      <c r="X353" s="74"/>
      <c r="Y353" s="75"/>
      <c r="Z353" s="75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</row>
    <row r="354" spans="1:45" ht="15.75" customHeight="1">
      <c r="A354" s="20"/>
      <c r="B354" s="71"/>
      <c r="E354" s="20" t="s">
        <v>310</v>
      </c>
      <c r="F354" s="20"/>
      <c r="G354" s="77">
        <v>0.08</v>
      </c>
      <c r="H354" s="66"/>
      <c r="I354" s="66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142"/>
      <c r="W354" s="141"/>
      <c r="X354" s="74"/>
      <c r="Y354" s="75"/>
      <c r="Z354" s="75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</row>
    <row r="355" spans="1:45" ht="15.75" customHeight="1">
      <c r="A355" s="20"/>
      <c r="B355" s="71"/>
      <c r="E355" s="20" t="s">
        <v>311</v>
      </c>
      <c r="F355" s="20"/>
      <c r="G355" s="77">
        <v>0.39</v>
      </c>
      <c r="H355" s="66"/>
      <c r="I355" s="66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142"/>
      <c r="W355" s="141"/>
      <c r="X355" s="74"/>
      <c r="Y355" s="75"/>
      <c r="Z355" s="75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</row>
    <row r="356" spans="1:45" ht="15.75" customHeight="1">
      <c r="A356" s="20"/>
      <c r="B356" s="71"/>
      <c r="E356" s="20" t="s">
        <v>312</v>
      </c>
      <c r="F356" s="20"/>
      <c r="G356" s="77">
        <v>0.34</v>
      </c>
      <c r="H356" s="66"/>
      <c r="I356" s="66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142"/>
      <c r="W356" s="141"/>
      <c r="X356" s="74"/>
      <c r="Y356" s="75"/>
      <c r="Z356" s="75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</row>
    <row r="357" spans="1:45" ht="15.75" customHeight="1">
      <c r="A357" s="20"/>
      <c r="B357" s="71"/>
      <c r="E357" s="20" t="s">
        <v>313</v>
      </c>
      <c r="F357" s="20"/>
      <c r="G357" s="77">
        <v>0.19</v>
      </c>
      <c r="H357" s="66"/>
      <c r="I357" s="66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142"/>
      <c r="W357" s="141"/>
      <c r="X357" s="74"/>
      <c r="Y357" s="75"/>
      <c r="Z357" s="75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</row>
    <row r="358" spans="1:45" ht="15.75" customHeight="1">
      <c r="A358" s="20"/>
      <c r="B358" s="71"/>
      <c r="C358" s="20"/>
      <c r="D358" s="20"/>
      <c r="E358" s="20"/>
      <c r="F358" s="20"/>
      <c r="G358" s="20"/>
      <c r="H358" s="66"/>
      <c r="I358" s="66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142"/>
      <c r="W358" s="141"/>
      <c r="X358" s="74"/>
      <c r="Y358" s="75"/>
      <c r="Z358" s="75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</row>
    <row r="359" spans="1:45" ht="15.75" customHeight="1">
      <c r="A359" s="20"/>
      <c r="B359" s="71"/>
      <c r="C359" s="20"/>
      <c r="D359" s="20" t="s">
        <v>314</v>
      </c>
      <c r="E359" s="20"/>
      <c r="F359" s="20"/>
      <c r="G359" s="20"/>
      <c r="H359" s="66"/>
      <c r="I359" s="66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142"/>
      <c r="W359" s="141"/>
      <c r="X359" s="74"/>
      <c r="Y359" s="75"/>
      <c r="Z359" s="75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</row>
    <row r="360" spans="1:45" ht="15.75" customHeight="1">
      <c r="A360" s="20"/>
      <c r="B360" s="71"/>
      <c r="C360" s="20"/>
      <c r="D360" s="20"/>
      <c r="E360" s="20" t="s">
        <v>310</v>
      </c>
      <c r="F360" s="20"/>
      <c r="G360" s="20">
        <v>8000</v>
      </c>
      <c r="H360" s="66"/>
      <c r="I360" s="66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142"/>
      <c r="W360" s="141"/>
      <c r="X360" s="74"/>
      <c r="Y360" s="75"/>
      <c r="Z360" s="75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</row>
    <row r="361" spans="1:45" ht="15.75" customHeight="1">
      <c r="A361" s="20"/>
      <c r="B361" s="71"/>
      <c r="C361" s="20"/>
      <c r="D361" s="20"/>
      <c r="E361" s="20" t="s">
        <v>311</v>
      </c>
      <c r="F361" s="20"/>
      <c r="G361" s="20">
        <v>3000</v>
      </c>
      <c r="H361" s="66"/>
      <c r="I361" s="66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142"/>
      <c r="W361" s="141"/>
      <c r="X361" s="74"/>
      <c r="Y361" s="75"/>
      <c r="Z361" s="75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</row>
    <row r="362" spans="1:45" ht="15.75" customHeight="1">
      <c r="A362" s="20"/>
      <c r="B362" s="71"/>
      <c r="C362" s="20"/>
      <c r="D362" s="20"/>
      <c r="E362" s="20" t="s">
        <v>312</v>
      </c>
      <c r="F362" s="20"/>
      <c r="G362" s="20">
        <v>1000</v>
      </c>
      <c r="H362" s="66"/>
      <c r="I362" s="66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142"/>
      <c r="W362" s="141"/>
      <c r="X362" s="74"/>
      <c r="Y362" s="75"/>
      <c r="Z362" s="75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</row>
    <row r="363" spans="1:45" ht="15.75" customHeight="1">
      <c r="A363" s="20"/>
      <c r="B363" s="71"/>
      <c r="C363" s="20"/>
      <c r="D363" s="20"/>
      <c r="E363" s="20" t="s">
        <v>313</v>
      </c>
      <c r="F363" s="20"/>
      <c r="G363" s="20">
        <v>500</v>
      </c>
      <c r="H363" s="66"/>
      <c r="I363" s="66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142"/>
      <c r="W363" s="141"/>
      <c r="X363" s="74"/>
      <c r="Y363" s="75"/>
      <c r="Z363" s="75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</row>
    <row r="364" spans="1:45" ht="15.75" customHeight="1">
      <c r="A364" s="20"/>
      <c r="B364" s="71"/>
      <c r="C364" s="20"/>
      <c r="D364" s="20"/>
      <c r="E364" s="20"/>
      <c r="F364" s="20"/>
      <c r="G364" s="20"/>
      <c r="H364" s="66"/>
      <c r="I364" s="66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142"/>
      <c r="W364" s="141"/>
      <c r="X364" s="74"/>
      <c r="Y364" s="75"/>
      <c r="Z364" s="75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</row>
    <row r="365" spans="1:45" ht="15.75" customHeight="1">
      <c r="A365" s="20"/>
      <c r="B365" s="71"/>
      <c r="C365" s="20"/>
      <c r="D365" s="20"/>
      <c r="E365" s="20"/>
      <c r="F365" s="20"/>
      <c r="G365" s="20"/>
      <c r="H365" s="66"/>
      <c r="I365" s="66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142"/>
      <c r="W365" s="141"/>
      <c r="X365" s="74"/>
      <c r="Y365" s="75"/>
      <c r="Z365" s="75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</row>
    <row r="366" spans="1:45" ht="15.75" customHeight="1">
      <c r="A366" s="20"/>
      <c r="B366" s="71"/>
      <c r="C366" s="20"/>
      <c r="D366" s="20"/>
      <c r="E366" s="20"/>
      <c r="F366" s="20"/>
      <c r="G366" s="20"/>
      <c r="H366" s="66"/>
      <c r="I366" s="66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142"/>
      <c r="W366" s="141"/>
      <c r="X366" s="74"/>
      <c r="Y366" s="75"/>
      <c r="Z366" s="75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</row>
    <row r="367" spans="1:45" ht="15.75" customHeight="1">
      <c r="A367" s="20"/>
      <c r="B367" s="71"/>
      <c r="C367" s="20"/>
      <c r="D367" s="20"/>
      <c r="E367" s="20"/>
      <c r="F367" s="20"/>
      <c r="G367" s="20"/>
      <c r="H367" s="66"/>
      <c r="I367" s="66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142"/>
      <c r="W367" s="141"/>
      <c r="X367" s="74"/>
      <c r="Y367" s="75"/>
      <c r="Z367" s="75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</row>
    <row r="368" spans="1:45" ht="15.75" customHeight="1">
      <c r="A368" s="20"/>
      <c r="B368" s="71"/>
      <c r="C368" s="20"/>
      <c r="D368" s="20"/>
      <c r="E368" s="20"/>
      <c r="F368" s="20"/>
      <c r="G368" s="20"/>
      <c r="H368" s="66"/>
      <c r="I368" s="66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142"/>
      <c r="W368" s="141"/>
      <c r="X368" s="74"/>
      <c r="Y368" s="75"/>
      <c r="Z368" s="75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</row>
    <row r="369" spans="1:45" ht="15.75" customHeight="1">
      <c r="A369" s="20"/>
      <c r="B369" s="71"/>
      <c r="C369" s="20"/>
      <c r="D369" s="20"/>
      <c r="E369" s="20"/>
      <c r="F369" s="20"/>
      <c r="G369" s="20"/>
      <c r="H369" s="66"/>
      <c r="I369" s="66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142"/>
      <c r="W369" s="141"/>
      <c r="X369" s="74"/>
      <c r="Y369" s="75"/>
      <c r="Z369" s="75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</row>
    <row r="370" spans="1:45" ht="15.75" customHeight="1">
      <c r="A370" s="20"/>
      <c r="B370" s="71"/>
      <c r="C370" s="20"/>
      <c r="D370" s="20"/>
      <c r="E370" s="20"/>
      <c r="F370" s="20"/>
      <c r="G370" s="20"/>
      <c r="H370" s="66"/>
      <c r="I370" s="66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142"/>
      <c r="W370" s="141"/>
      <c r="X370" s="74"/>
      <c r="Y370" s="75"/>
      <c r="Z370" s="75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</row>
    <row r="371" spans="1:45" ht="15.75" customHeight="1">
      <c r="A371" s="20"/>
      <c r="B371" s="71"/>
      <c r="C371" s="20"/>
      <c r="D371" s="20"/>
      <c r="E371" s="20"/>
      <c r="F371" s="20"/>
      <c r="G371" s="20"/>
      <c r="H371" s="66"/>
      <c r="I371" s="66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142"/>
      <c r="W371" s="141"/>
      <c r="X371" s="74"/>
      <c r="Y371" s="75"/>
      <c r="Z371" s="75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</row>
    <row r="372" spans="1:45" ht="15.75" customHeight="1">
      <c r="A372" s="20"/>
      <c r="B372" s="71"/>
      <c r="C372" s="20"/>
      <c r="D372" s="20"/>
      <c r="E372" s="20"/>
      <c r="F372" s="20"/>
      <c r="G372" s="20"/>
      <c r="H372" s="66"/>
      <c r="I372" s="66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142"/>
      <c r="W372" s="141"/>
      <c r="X372" s="74"/>
      <c r="Y372" s="75"/>
      <c r="Z372" s="75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</row>
    <row r="373" spans="1:45" ht="15.75" customHeight="1">
      <c r="A373" s="20"/>
      <c r="B373" s="71"/>
      <c r="C373" s="20"/>
      <c r="D373" s="20"/>
      <c r="E373" s="20"/>
      <c r="F373" s="20"/>
      <c r="G373" s="20"/>
      <c r="H373" s="66"/>
      <c r="I373" s="66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142"/>
      <c r="W373" s="141"/>
      <c r="X373" s="74"/>
      <c r="Y373" s="75"/>
      <c r="Z373" s="75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</row>
    <row r="374" spans="1:45" ht="15.75" customHeight="1">
      <c r="A374" s="20"/>
      <c r="B374" s="71"/>
      <c r="C374" s="20"/>
      <c r="D374" s="20"/>
      <c r="E374" s="20"/>
      <c r="F374" s="20"/>
      <c r="G374" s="20"/>
      <c r="H374" s="66"/>
      <c r="I374" s="66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142"/>
      <c r="W374" s="141"/>
      <c r="X374" s="74"/>
      <c r="Y374" s="75"/>
      <c r="Z374" s="75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</row>
    <row r="375" spans="1:45" ht="15.75" customHeight="1">
      <c r="A375" s="20"/>
      <c r="B375" s="71"/>
      <c r="C375" s="20"/>
      <c r="D375" s="20"/>
      <c r="E375" s="20"/>
      <c r="F375" s="20"/>
      <c r="G375" s="20"/>
      <c r="H375" s="66"/>
      <c r="I375" s="66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142"/>
      <c r="W375" s="141"/>
      <c r="X375" s="74"/>
      <c r="Y375" s="75"/>
      <c r="Z375" s="75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</row>
    <row r="376" spans="1:45" ht="15.75" customHeight="1">
      <c r="A376" s="20"/>
      <c r="B376" s="71"/>
      <c r="C376" s="20"/>
      <c r="D376" s="20"/>
      <c r="E376" s="20"/>
      <c r="F376" s="20"/>
      <c r="G376" s="20"/>
      <c r="H376" s="66"/>
      <c r="I376" s="66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142"/>
      <c r="W376" s="141"/>
      <c r="X376" s="74"/>
      <c r="Y376" s="75"/>
      <c r="Z376" s="75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</row>
    <row r="377" spans="1:45" ht="15.75" customHeight="1">
      <c r="A377" s="20"/>
      <c r="B377" s="71"/>
      <c r="C377" s="20"/>
      <c r="D377" s="20"/>
      <c r="E377" s="20"/>
      <c r="F377" s="20"/>
      <c r="G377" s="20"/>
      <c r="H377" s="66"/>
      <c r="I377" s="66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142"/>
      <c r="W377" s="141"/>
      <c r="X377" s="74"/>
      <c r="Y377" s="75"/>
      <c r="Z377" s="75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</row>
    <row r="378" spans="1:45" ht="15.75" customHeight="1">
      <c r="A378" s="20"/>
      <c r="B378" s="71"/>
      <c r="C378" s="20"/>
      <c r="D378" s="20"/>
      <c r="E378" s="20"/>
      <c r="F378" s="20"/>
      <c r="G378" s="20"/>
      <c r="H378" s="66"/>
      <c r="I378" s="66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142"/>
      <c r="W378" s="141"/>
      <c r="X378" s="74"/>
      <c r="Y378" s="75"/>
      <c r="Z378" s="75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</row>
    <row r="379" spans="1:45" ht="15.75" customHeight="1">
      <c r="A379" s="20"/>
      <c r="B379" s="71"/>
      <c r="C379" s="20"/>
      <c r="D379" s="20"/>
      <c r="E379" s="20"/>
      <c r="F379" s="20"/>
      <c r="G379" s="20"/>
      <c r="H379" s="66"/>
      <c r="I379" s="66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142"/>
      <c r="W379" s="141"/>
      <c r="X379" s="74"/>
      <c r="Y379" s="75"/>
      <c r="Z379" s="75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</row>
    <row r="380" spans="1:45" ht="15.75" customHeight="1">
      <c r="A380" s="20"/>
      <c r="B380" s="71"/>
      <c r="C380" s="20"/>
      <c r="D380" s="20"/>
      <c r="E380" s="20"/>
      <c r="F380" s="20"/>
      <c r="G380" s="20"/>
      <c r="H380" s="66"/>
      <c r="I380" s="66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142"/>
      <c r="W380" s="141"/>
      <c r="X380" s="74"/>
      <c r="Y380" s="75"/>
      <c r="Z380" s="75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</row>
    <row r="381" spans="1:45" ht="15.75" customHeight="1">
      <c r="A381" s="20"/>
      <c r="B381" s="71"/>
      <c r="C381" s="20"/>
      <c r="D381" s="20"/>
      <c r="E381" s="20"/>
      <c r="F381" s="20"/>
      <c r="G381" s="20"/>
      <c r="H381" s="66"/>
      <c r="I381" s="66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142"/>
      <c r="W381" s="141"/>
      <c r="X381" s="74"/>
      <c r="Y381" s="75"/>
      <c r="Z381" s="75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</row>
    <row r="382" spans="1:45" ht="15.75" customHeight="1">
      <c r="A382" s="20"/>
      <c r="B382" s="71"/>
      <c r="C382" s="20"/>
      <c r="D382" s="20"/>
      <c r="E382" s="20"/>
      <c r="F382" s="20"/>
      <c r="G382" s="20"/>
      <c r="H382" s="66"/>
      <c r="I382" s="66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142"/>
      <c r="W382" s="141"/>
      <c r="X382" s="74"/>
      <c r="Y382" s="75"/>
      <c r="Z382" s="75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</row>
    <row r="383" spans="1:45" ht="15.75" customHeight="1">
      <c r="A383" s="20"/>
      <c r="B383" s="71"/>
      <c r="C383" s="20"/>
      <c r="D383" s="20"/>
      <c r="E383" s="20"/>
      <c r="F383" s="20"/>
      <c r="G383" s="20"/>
      <c r="H383" s="66"/>
      <c r="I383" s="66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142"/>
      <c r="W383" s="141"/>
      <c r="X383" s="74"/>
      <c r="Y383" s="75"/>
      <c r="Z383" s="75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</row>
    <row r="384" spans="1:45" ht="15.75" customHeight="1">
      <c r="A384" s="20"/>
      <c r="B384" s="71"/>
      <c r="C384" s="20"/>
      <c r="D384" s="20"/>
      <c r="E384" s="20"/>
      <c r="F384" s="20"/>
      <c r="G384" s="20"/>
      <c r="H384" s="66"/>
      <c r="I384" s="66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142"/>
      <c r="W384" s="141"/>
      <c r="X384" s="74"/>
      <c r="Y384" s="75"/>
      <c r="Z384" s="75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</row>
    <row r="385" spans="1:45" ht="15.75" customHeight="1">
      <c r="A385" s="20"/>
      <c r="B385" s="71"/>
      <c r="C385" s="20"/>
      <c r="D385" s="20"/>
      <c r="E385" s="20"/>
      <c r="F385" s="20"/>
      <c r="G385" s="20"/>
      <c r="H385" s="66"/>
      <c r="I385" s="66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142"/>
      <c r="W385" s="141"/>
      <c r="X385" s="74"/>
      <c r="Y385" s="75"/>
      <c r="Z385" s="75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</row>
    <row r="386" spans="1:45" ht="15.75" customHeight="1">
      <c r="A386" s="20"/>
      <c r="B386" s="71"/>
      <c r="C386" s="20"/>
      <c r="D386" s="20"/>
      <c r="E386" s="20"/>
      <c r="F386" s="20"/>
      <c r="G386" s="20"/>
      <c r="H386" s="66"/>
      <c r="I386" s="66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142"/>
      <c r="W386" s="141"/>
      <c r="X386" s="74"/>
      <c r="Y386" s="75"/>
      <c r="Z386" s="75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</row>
    <row r="387" spans="1:45" ht="15.75" customHeight="1">
      <c r="A387" s="20"/>
      <c r="B387" s="71"/>
      <c r="C387" s="20"/>
      <c r="D387" s="20"/>
      <c r="E387" s="20"/>
      <c r="F387" s="20"/>
      <c r="G387" s="20"/>
      <c r="H387" s="66"/>
      <c r="I387" s="66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142"/>
      <c r="W387" s="141"/>
      <c r="X387" s="74"/>
      <c r="Y387" s="75"/>
      <c r="Z387" s="75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</row>
    <row r="388" spans="1:45" ht="15.75" customHeight="1">
      <c r="A388" s="20"/>
      <c r="B388" s="71"/>
      <c r="C388" s="20"/>
      <c r="D388" s="20"/>
      <c r="E388" s="20"/>
      <c r="F388" s="20"/>
      <c r="G388" s="20"/>
      <c r="H388" s="66"/>
      <c r="I388" s="66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142"/>
      <c r="W388" s="141"/>
      <c r="X388" s="74"/>
      <c r="Y388" s="75"/>
      <c r="Z388" s="75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</row>
    <row r="389" spans="1:45" ht="15.75" customHeight="1">
      <c r="A389" s="20"/>
      <c r="B389" s="71"/>
      <c r="C389" s="20"/>
      <c r="D389" s="20"/>
      <c r="E389" s="20"/>
      <c r="F389" s="20"/>
      <c r="G389" s="20"/>
      <c r="H389" s="66"/>
      <c r="I389" s="66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142"/>
      <c r="W389" s="141"/>
      <c r="X389" s="74"/>
      <c r="Y389" s="75"/>
      <c r="Z389" s="75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</row>
    <row r="390" spans="1:45" ht="15.75" customHeight="1">
      <c r="A390" s="20"/>
      <c r="B390" s="71"/>
      <c r="C390" s="20"/>
      <c r="D390" s="20"/>
      <c r="E390" s="20"/>
      <c r="F390" s="20"/>
      <c r="G390" s="20"/>
      <c r="H390" s="66"/>
      <c r="I390" s="66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142"/>
      <c r="W390" s="141"/>
      <c r="X390" s="74"/>
      <c r="Y390" s="75"/>
      <c r="Z390" s="75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</row>
    <row r="391" spans="1:45" ht="15.75" customHeight="1">
      <c r="A391" s="20"/>
      <c r="B391" s="71"/>
      <c r="C391" s="20"/>
      <c r="D391" s="20"/>
      <c r="E391" s="20"/>
      <c r="F391" s="20"/>
      <c r="G391" s="20"/>
      <c r="H391" s="66"/>
      <c r="I391" s="66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142"/>
      <c r="W391" s="141"/>
      <c r="X391" s="74"/>
      <c r="Y391" s="75"/>
      <c r="Z391" s="75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</row>
    <row r="392" spans="1:45" ht="15.75" customHeight="1">
      <c r="A392" s="20"/>
      <c r="B392" s="71"/>
      <c r="C392" s="20"/>
      <c r="D392" s="20"/>
      <c r="E392" s="20"/>
      <c r="F392" s="20"/>
      <c r="G392" s="20"/>
      <c r="H392" s="66"/>
      <c r="I392" s="66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142"/>
      <c r="W392" s="141"/>
      <c r="X392" s="74"/>
      <c r="Y392" s="75"/>
      <c r="Z392" s="75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</row>
    <row r="393" spans="1:45" ht="15.75" customHeight="1">
      <c r="A393" s="20"/>
      <c r="B393" s="71"/>
      <c r="C393" s="20"/>
      <c r="D393" s="20"/>
      <c r="E393" s="20"/>
      <c r="F393" s="20"/>
      <c r="G393" s="20"/>
      <c r="H393" s="66"/>
      <c r="I393" s="66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142"/>
      <c r="W393" s="141"/>
      <c r="X393" s="74"/>
      <c r="Y393" s="75"/>
      <c r="Z393" s="75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</row>
    <row r="394" spans="1:45" ht="15.75" customHeight="1">
      <c r="A394" s="20"/>
      <c r="B394" s="71"/>
      <c r="C394" s="20"/>
      <c r="D394" s="20"/>
      <c r="E394" s="20"/>
      <c r="F394" s="20"/>
      <c r="G394" s="20"/>
      <c r="H394" s="66"/>
      <c r="I394" s="66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142"/>
      <c r="W394" s="141"/>
      <c r="X394" s="74"/>
      <c r="Y394" s="75"/>
      <c r="Z394" s="75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</row>
    <row r="395" spans="1:45" ht="15.75" customHeight="1">
      <c r="A395" s="20"/>
      <c r="B395" s="71"/>
      <c r="C395" s="20"/>
      <c r="D395" s="20"/>
      <c r="E395" s="20"/>
      <c r="F395" s="20"/>
      <c r="G395" s="20"/>
      <c r="H395" s="66"/>
      <c r="I395" s="66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142"/>
      <c r="W395" s="141"/>
      <c r="X395" s="74"/>
      <c r="Y395" s="75"/>
      <c r="Z395" s="75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</row>
    <row r="396" spans="1:45" ht="15.75" customHeight="1">
      <c r="A396" s="20"/>
      <c r="B396" s="71"/>
      <c r="C396" s="20"/>
      <c r="D396" s="20"/>
      <c r="E396" s="20"/>
      <c r="F396" s="20"/>
      <c r="G396" s="20"/>
      <c r="H396" s="66"/>
      <c r="I396" s="66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142"/>
      <c r="W396" s="141"/>
      <c r="X396" s="74"/>
      <c r="Y396" s="75"/>
      <c r="Z396" s="75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</row>
    <row r="397" spans="1:45" ht="15.75" customHeight="1">
      <c r="A397" s="20"/>
      <c r="B397" s="71"/>
      <c r="C397" s="20"/>
      <c r="D397" s="20"/>
      <c r="E397" s="20"/>
      <c r="F397" s="20"/>
      <c r="G397" s="20"/>
      <c r="H397" s="66"/>
      <c r="I397" s="66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142"/>
      <c r="W397" s="141"/>
      <c r="X397" s="74"/>
      <c r="Y397" s="75"/>
      <c r="Z397" s="75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</row>
    <row r="398" spans="1:45" ht="15.75" customHeight="1">
      <c r="A398" s="20"/>
      <c r="B398" s="71"/>
      <c r="C398" s="20"/>
      <c r="D398" s="20"/>
      <c r="E398" s="20"/>
      <c r="F398" s="20"/>
      <c r="G398" s="20"/>
      <c r="H398" s="66"/>
      <c r="I398" s="66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142"/>
      <c r="W398" s="141"/>
      <c r="X398" s="74"/>
      <c r="Y398" s="75"/>
      <c r="Z398" s="75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</row>
    <row r="399" spans="1:45" ht="15.75" customHeight="1">
      <c r="A399" s="20"/>
      <c r="B399" s="71"/>
      <c r="C399" s="20"/>
      <c r="D399" s="20"/>
      <c r="E399" s="20"/>
      <c r="F399" s="20"/>
      <c r="G399" s="20"/>
      <c r="H399" s="66"/>
      <c r="I399" s="66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142"/>
      <c r="W399" s="141"/>
      <c r="X399" s="74"/>
      <c r="Y399" s="75"/>
      <c r="Z399" s="75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</row>
    <row r="400" spans="1:45" ht="15.75" customHeight="1">
      <c r="A400" s="20"/>
      <c r="B400" s="71"/>
      <c r="C400" s="20"/>
      <c r="D400" s="20"/>
      <c r="E400" s="20"/>
      <c r="F400" s="20"/>
      <c r="G400" s="20"/>
      <c r="H400" s="66"/>
      <c r="I400" s="66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142"/>
      <c r="W400" s="141"/>
      <c r="X400" s="74"/>
      <c r="Y400" s="75"/>
      <c r="Z400" s="75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</row>
    <row r="401" spans="1:45" ht="15.75" customHeight="1">
      <c r="A401" s="20"/>
      <c r="B401" s="71"/>
      <c r="C401" s="20"/>
      <c r="D401" s="20"/>
      <c r="E401" s="20"/>
      <c r="F401" s="20"/>
      <c r="G401" s="20"/>
      <c r="H401" s="66"/>
      <c r="I401" s="66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142"/>
      <c r="W401" s="141"/>
      <c r="X401" s="74"/>
      <c r="Y401" s="75"/>
      <c r="Z401" s="75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</row>
    <row r="402" spans="1:45" ht="15.75" customHeight="1">
      <c r="A402" s="20"/>
      <c r="B402" s="71"/>
      <c r="C402" s="20"/>
      <c r="D402" s="20"/>
      <c r="E402" s="20"/>
      <c r="F402" s="20"/>
      <c r="G402" s="20"/>
      <c r="H402" s="66"/>
      <c r="I402" s="66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142"/>
      <c r="W402" s="141"/>
      <c r="X402" s="74"/>
      <c r="Y402" s="75"/>
      <c r="Z402" s="75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</row>
    <row r="403" spans="1:45" ht="15.75" customHeight="1">
      <c r="A403" s="20"/>
      <c r="B403" s="71"/>
      <c r="C403" s="20"/>
      <c r="D403" s="20"/>
      <c r="E403" s="20"/>
      <c r="F403" s="20"/>
      <c r="G403" s="20"/>
      <c r="H403" s="66"/>
      <c r="I403" s="66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142"/>
      <c r="W403" s="141"/>
      <c r="X403" s="74"/>
      <c r="Y403" s="75"/>
      <c r="Z403" s="75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</row>
    <row r="404" spans="1:45" ht="15.75" customHeight="1">
      <c r="A404" s="20"/>
      <c r="B404" s="71"/>
      <c r="C404" s="20"/>
      <c r="D404" s="20"/>
      <c r="E404" s="20"/>
      <c r="F404" s="20"/>
      <c r="G404" s="20"/>
      <c r="H404" s="66"/>
      <c r="I404" s="66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142"/>
      <c r="W404" s="141"/>
      <c r="X404" s="74"/>
      <c r="Y404" s="75"/>
      <c r="Z404" s="75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</row>
    <row r="405" spans="1:45" ht="15.75" customHeight="1">
      <c r="A405" s="20"/>
      <c r="B405" s="71"/>
      <c r="C405" s="20"/>
      <c r="D405" s="20"/>
      <c r="E405" s="20"/>
      <c r="F405" s="20"/>
      <c r="G405" s="20"/>
      <c r="H405" s="66"/>
      <c r="I405" s="66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142"/>
      <c r="W405" s="141"/>
      <c r="X405" s="74"/>
      <c r="Y405" s="75"/>
      <c r="Z405" s="75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</row>
    <row r="406" spans="1:45" ht="15.75" customHeight="1">
      <c r="A406" s="20"/>
      <c r="B406" s="71"/>
      <c r="C406" s="20"/>
      <c r="D406" s="20"/>
      <c r="E406" s="20"/>
      <c r="F406" s="20"/>
      <c r="G406" s="20"/>
      <c r="H406" s="66"/>
      <c r="I406" s="66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142"/>
      <c r="W406" s="141"/>
      <c r="X406" s="74"/>
      <c r="Y406" s="75"/>
      <c r="Z406" s="75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</row>
    <row r="407" spans="1:45" ht="15.75" customHeight="1">
      <c r="A407" s="20"/>
      <c r="B407" s="71"/>
      <c r="C407" s="20"/>
      <c r="D407" s="20"/>
      <c r="E407" s="20"/>
      <c r="F407" s="20"/>
      <c r="G407" s="20"/>
      <c r="H407" s="66"/>
      <c r="I407" s="66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142"/>
      <c r="W407" s="141"/>
      <c r="X407" s="74"/>
      <c r="Y407" s="75"/>
      <c r="Z407" s="75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</row>
    <row r="408" spans="1:45" ht="15.75" customHeight="1">
      <c r="A408" s="20"/>
      <c r="B408" s="71"/>
      <c r="C408" s="20"/>
      <c r="D408" s="20"/>
      <c r="E408" s="20"/>
      <c r="F408" s="20"/>
      <c r="G408" s="20"/>
      <c r="H408" s="66"/>
      <c r="I408" s="66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142"/>
      <c r="W408" s="141"/>
      <c r="X408" s="74"/>
      <c r="Y408" s="75"/>
      <c r="Z408" s="75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</row>
    <row r="409" spans="1:45" ht="15.75" customHeight="1">
      <c r="A409" s="20"/>
      <c r="B409" s="71"/>
      <c r="C409" s="20"/>
      <c r="D409" s="20"/>
      <c r="E409" s="20"/>
      <c r="F409" s="20"/>
      <c r="G409" s="20"/>
      <c r="H409" s="66"/>
      <c r="I409" s="66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142"/>
      <c r="W409" s="141"/>
      <c r="X409" s="74"/>
      <c r="Y409" s="75"/>
      <c r="Z409" s="75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</row>
    <row r="410" spans="1:45" ht="15.75" customHeight="1">
      <c r="A410" s="20"/>
      <c r="B410" s="71"/>
      <c r="C410" s="20"/>
      <c r="D410" s="20"/>
      <c r="E410" s="20"/>
      <c r="F410" s="20"/>
      <c r="G410" s="20"/>
      <c r="H410" s="66"/>
      <c r="I410" s="66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142"/>
      <c r="W410" s="141"/>
      <c r="X410" s="74"/>
      <c r="Y410" s="75"/>
      <c r="Z410" s="75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</row>
    <row r="411" spans="1:45" ht="15.75" customHeight="1">
      <c r="A411" s="20"/>
      <c r="B411" s="71"/>
      <c r="C411" s="20"/>
      <c r="D411" s="20"/>
      <c r="E411" s="20"/>
      <c r="F411" s="20"/>
      <c r="G411" s="20"/>
      <c r="H411" s="66"/>
      <c r="I411" s="66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142"/>
      <c r="W411" s="141"/>
      <c r="X411" s="74"/>
      <c r="Y411" s="75"/>
      <c r="Z411" s="75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</row>
    <row r="412" spans="1:45" ht="15.75" customHeight="1">
      <c r="A412" s="20"/>
      <c r="B412" s="71"/>
      <c r="C412" s="20"/>
      <c r="D412" s="20"/>
      <c r="E412" s="20"/>
      <c r="F412" s="20"/>
      <c r="G412" s="20"/>
      <c r="H412" s="66"/>
      <c r="I412" s="66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142"/>
      <c r="W412" s="141"/>
      <c r="X412" s="74"/>
      <c r="Y412" s="75"/>
      <c r="Z412" s="75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</row>
    <row r="413" spans="1:45" ht="15.75" customHeight="1">
      <c r="A413" s="20"/>
      <c r="B413" s="71"/>
      <c r="C413" s="20"/>
      <c r="D413" s="20"/>
      <c r="E413" s="20"/>
      <c r="F413" s="20"/>
      <c r="G413" s="20"/>
      <c r="H413" s="66"/>
      <c r="I413" s="66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142"/>
      <c r="W413" s="141"/>
      <c r="X413" s="74"/>
      <c r="Y413" s="75"/>
      <c r="Z413" s="75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</row>
    <row r="414" spans="1:45" ht="15.75" customHeight="1">
      <c r="A414" s="20"/>
      <c r="B414" s="71"/>
      <c r="C414" s="20"/>
      <c r="D414" s="20"/>
      <c r="E414" s="20"/>
      <c r="F414" s="20"/>
      <c r="G414" s="20"/>
      <c r="H414" s="66"/>
      <c r="I414" s="66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142"/>
      <c r="W414" s="141"/>
      <c r="X414" s="74"/>
      <c r="Y414" s="75"/>
      <c r="Z414" s="75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</row>
    <row r="415" spans="1:45" ht="15.75" customHeight="1">
      <c r="A415" s="20"/>
      <c r="B415" s="71"/>
      <c r="C415" s="20"/>
      <c r="D415" s="20"/>
      <c r="E415" s="20"/>
      <c r="F415" s="20"/>
      <c r="G415" s="20"/>
      <c r="H415" s="66"/>
      <c r="I415" s="66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142"/>
      <c r="W415" s="141"/>
      <c r="X415" s="74"/>
      <c r="Y415" s="75"/>
      <c r="Z415" s="75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</row>
    <row r="416" spans="1:45" ht="15.75" customHeight="1">
      <c r="A416" s="20"/>
      <c r="B416" s="71"/>
      <c r="C416" s="20"/>
      <c r="D416" s="20"/>
      <c r="E416" s="20"/>
      <c r="F416" s="20"/>
      <c r="G416" s="20"/>
      <c r="H416" s="66"/>
      <c r="I416" s="66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142"/>
      <c r="W416" s="141"/>
      <c r="X416" s="74"/>
      <c r="Y416" s="75"/>
      <c r="Z416" s="75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</row>
    <row r="417" spans="1:45" ht="15.75" customHeight="1">
      <c r="A417" s="20"/>
      <c r="B417" s="71"/>
      <c r="C417" s="20"/>
      <c r="D417" s="20"/>
      <c r="E417" s="20"/>
      <c r="F417" s="20"/>
      <c r="G417" s="20"/>
      <c r="H417" s="66"/>
      <c r="I417" s="66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142"/>
      <c r="W417" s="141"/>
      <c r="X417" s="74"/>
      <c r="Y417" s="75"/>
      <c r="Z417" s="75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</row>
    <row r="418" spans="1:45" ht="15.75" customHeight="1">
      <c r="A418" s="20"/>
      <c r="B418" s="71"/>
      <c r="C418" s="20"/>
      <c r="D418" s="20"/>
      <c r="E418" s="20"/>
      <c r="F418" s="20"/>
      <c r="G418" s="20"/>
      <c r="H418" s="66"/>
      <c r="I418" s="66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142"/>
      <c r="W418" s="141"/>
      <c r="X418" s="74"/>
      <c r="Y418" s="75"/>
      <c r="Z418" s="75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</row>
    <row r="419" spans="1:45" ht="15.75" customHeight="1">
      <c r="A419" s="20"/>
      <c r="B419" s="71"/>
      <c r="C419" s="20"/>
      <c r="D419" s="20"/>
      <c r="E419" s="20"/>
      <c r="F419" s="20"/>
      <c r="G419" s="20"/>
      <c r="H419" s="66"/>
      <c r="I419" s="66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142"/>
      <c r="W419" s="141"/>
      <c r="X419" s="74"/>
      <c r="Y419" s="75"/>
      <c r="Z419" s="75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</row>
    <row r="420" spans="1:45" ht="15.75" customHeight="1">
      <c r="A420" s="20"/>
      <c r="B420" s="71"/>
      <c r="C420" s="20"/>
      <c r="D420" s="20"/>
      <c r="E420" s="20"/>
      <c r="F420" s="20"/>
      <c r="G420" s="20"/>
      <c r="H420" s="66"/>
      <c r="I420" s="66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142"/>
      <c r="W420" s="141"/>
      <c r="X420" s="74"/>
      <c r="Y420" s="75"/>
      <c r="Z420" s="75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</row>
    <row r="421" spans="1:45" ht="15.75" customHeight="1">
      <c r="A421" s="20"/>
      <c r="B421" s="71"/>
      <c r="C421" s="20"/>
      <c r="D421" s="20"/>
      <c r="E421" s="20"/>
      <c r="F421" s="20"/>
      <c r="G421" s="20"/>
      <c r="H421" s="66"/>
      <c r="I421" s="66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142"/>
      <c r="W421" s="141"/>
      <c r="X421" s="74"/>
      <c r="Y421" s="75"/>
      <c r="Z421" s="75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</row>
    <row r="422" spans="1:45" ht="15.75" customHeight="1">
      <c r="A422" s="20"/>
      <c r="B422" s="71"/>
      <c r="C422" s="20"/>
      <c r="D422" s="20"/>
      <c r="E422" s="20"/>
      <c r="F422" s="20"/>
      <c r="G422" s="20"/>
      <c r="H422" s="66"/>
      <c r="I422" s="66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142"/>
      <c r="W422" s="141"/>
      <c r="X422" s="74"/>
      <c r="Y422" s="75"/>
      <c r="Z422" s="75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</row>
    <row r="423" spans="1:45" ht="15.75" customHeight="1">
      <c r="A423" s="20"/>
      <c r="B423" s="71"/>
      <c r="C423" s="20"/>
      <c r="D423" s="20"/>
      <c r="E423" s="20"/>
      <c r="F423" s="20"/>
      <c r="G423" s="20"/>
      <c r="H423" s="66"/>
      <c r="I423" s="66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142"/>
      <c r="W423" s="141"/>
      <c r="X423" s="74"/>
      <c r="Y423" s="75"/>
      <c r="Z423" s="75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</row>
    <row r="424" spans="1:45" ht="15.75" customHeight="1">
      <c r="A424" s="20"/>
      <c r="B424" s="71"/>
      <c r="C424" s="20"/>
      <c r="D424" s="20"/>
      <c r="E424" s="20"/>
      <c r="F424" s="20"/>
      <c r="G424" s="20"/>
      <c r="H424" s="66"/>
      <c r="I424" s="66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142"/>
      <c r="W424" s="141"/>
      <c r="X424" s="74"/>
      <c r="Y424" s="75"/>
      <c r="Z424" s="75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</row>
    <row r="425" spans="1:45" ht="15.75" customHeight="1">
      <c r="A425" s="20"/>
      <c r="B425" s="71"/>
      <c r="C425" s="20"/>
      <c r="D425" s="20"/>
      <c r="E425" s="20"/>
      <c r="F425" s="20"/>
      <c r="G425" s="20"/>
      <c r="H425" s="66"/>
      <c r="I425" s="66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142"/>
      <c r="W425" s="141"/>
      <c r="X425" s="74"/>
      <c r="Y425" s="75"/>
      <c r="Z425" s="75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</row>
    <row r="426" spans="1:45" ht="15.75" customHeight="1">
      <c r="A426" s="20"/>
      <c r="B426" s="71"/>
      <c r="C426" s="20"/>
      <c r="D426" s="20"/>
      <c r="E426" s="20"/>
      <c r="F426" s="20"/>
      <c r="G426" s="20"/>
      <c r="H426" s="66"/>
      <c r="I426" s="66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142"/>
      <c r="W426" s="141"/>
      <c r="X426" s="74"/>
      <c r="Y426" s="75"/>
      <c r="Z426" s="75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</row>
    <row r="427" spans="1:45" ht="15.75" customHeight="1">
      <c r="A427" s="20"/>
      <c r="B427" s="71"/>
      <c r="C427" s="20"/>
      <c r="D427" s="20"/>
      <c r="E427" s="20"/>
      <c r="F427" s="20"/>
      <c r="G427" s="20"/>
      <c r="H427" s="66"/>
      <c r="I427" s="66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142"/>
      <c r="W427" s="141"/>
      <c r="X427" s="74"/>
      <c r="Y427" s="75"/>
      <c r="Z427" s="75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</row>
    <row r="428" spans="1:45" ht="15.75" customHeight="1">
      <c r="A428" s="20"/>
      <c r="B428" s="71"/>
      <c r="C428" s="20"/>
      <c r="D428" s="20"/>
      <c r="E428" s="20"/>
      <c r="F428" s="20"/>
      <c r="G428" s="20"/>
      <c r="H428" s="66"/>
      <c r="I428" s="66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142"/>
      <c r="W428" s="141"/>
      <c r="X428" s="74"/>
      <c r="Y428" s="75"/>
      <c r="Z428" s="75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</row>
    <row r="429" spans="1:45" ht="15.75" customHeight="1">
      <c r="A429" s="20"/>
      <c r="B429" s="71"/>
      <c r="C429" s="20"/>
      <c r="D429" s="20"/>
      <c r="E429" s="20"/>
      <c r="F429" s="20"/>
      <c r="G429" s="20"/>
      <c r="H429" s="66"/>
      <c r="I429" s="66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142"/>
      <c r="W429" s="141"/>
      <c r="X429" s="74"/>
      <c r="Y429" s="75"/>
      <c r="Z429" s="75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</row>
    <row r="430" spans="1:45" ht="15.75" customHeight="1">
      <c r="A430" s="20"/>
      <c r="B430" s="71"/>
      <c r="C430" s="20"/>
      <c r="D430" s="20"/>
      <c r="E430" s="20"/>
      <c r="F430" s="20"/>
      <c r="G430" s="20"/>
      <c r="H430" s="66"/>
      <c r="I430" s="66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142"/>
      <c r="W430" s="141"/>
      <c r="X430" s="74"/>
      <c r="Y430" s="75"/>
      <c r="Z430" s="75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</row>
    <row r="431" spans="1:45" ht="15.75" customHeight="1">
      <c r="A431" s="20"/>
      <c r="B431" s="71"/>
      <c r="C431" s="20"/>
      <c r="D431" s="20"/>
      <c r="E431" s="20"/>
      <c r="F431" s="20"/>
      <c r="G431" s="20"/>
      <c r="H431" s="66"/>
      <c r="I431" s="66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142"/>
      <c r="W431" s="141"/>
      <c r="X431" s="74"/>
      <c r="Y431" s="75"/>
      <c r="Z431" s="75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</row>
    <row r="432" spans="1:45" ht="15.75" customHeight="1">
      <c r="A432" s="20"/>
      <c r="B432" s="71"/>
      <c r="C432" s="20"/>
      <c r="D432" s="20"/>
      <c r="E432" s="20"/>
      <c r="F432" s="20"/>
      <c r="G432" s="20"/>
      <c r="H432" s="66"/>
      <c r="I432" s="66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142"/>
      <c r="W432" s="141"/>
      <c r="X432" s="74"/>
      <c r="Y432" s="75"/>
      <c r="Z432" s="75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</row>
    <row r="433" spans="1:45" ht="15.75" customHeight="1">
      <c r="A433" s="20"/>
      <c r="B433" s="71"/>
      <c r="C433" s="20"/>
      <c r="D433" s="20"/>
      <c r="E433" s="20"/>
      <c r="F433" s="20"/>
      <c r="G433" s="20"/>
      <c r="H433" s="66"/>
      <c r="I433" s="66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142"/>
      <c r="W433" s="141"/>
      <c r="X433" s="74"/>
      <c r="Y433" s="75"/>
      <c r="Z433" s="75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</row>
    <row r="434" spans="1:45" ht="15.75" customHeight="1">
      <c r="A434" s="20"/>
      <c r="B434" s="71"/>
      <c r="C434" s="20"/>
      <c r="D434" s="20"/>
      <c r="E434" s="20"/>
      <c r="F434" s="20"/>
      <c r="G434" s="20"/>
      <c r="H434" s="66"/>
      <c r="I434" s="66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142"/>
      <c r="W434" s="141"/>
      <c r="X434" s="74"/>
      <c r="Y434" s="75"/>
      <c r="Z434" s="75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</row>
    <row r="435" spans="1:45" ht="15.75" customHeight="1">
      <c r="A435" s="20"/>
      <c r="B435" s="71"/>
      <c r="C435" s="20"/>
      <c r="D435" s="20"/>
      <c r="E435" s="20"/>
      <c r="F435" s="20"/>
      <c r="G435" s="20"/>
      <c r="H435" s="66"/>
      <c r="I435" s="66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142"/>
      <c r="W435" s="141"/>
      <c r="X435" s="74"/>
      <c r="Y435" s="75"/>
      <c r="Z435" s="75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</row>
    <row r="436" spans="1:45" ht="15.75" customHeight="1">
      <c r="A436" s="20"/>
      <c r="B436" s="71"/>
      <c r="C436" s="20"/>
      <c r="D436" s="20"/>
      <c r="E436" s="20"/>
      <c r="F436" s="20"/>
      <c r="G436" s="20"/>
      <c r="H436" s="66"/>
      <c r="I436" s="66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142"/>
      <c r="W436" s="141"/>
      <c r="X436" s="74"/>
      <c r="Y436" s="75"/>
      <c r="Z436" s="75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</row>
    <row r="437" spans="1:45" ht="15.75" customHeight="1">
      <c r="A437" s="20"/>
      <c r="B437" s="71"/>
      <c r="C437" s="20"/>
      <c r="D437" s="20"/>
      <c r="E437" s="20"/>
      <c r="F437" s="20"/>
      <c r="G437" s="20"/>
      <c r="H437" s="66"/>
      <c r="I437" s="66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142"/>
      <c r="W437" s="141"/>
      <c r="X437" s="74"/>
      <c r="Y437" s="75"/>
      <c r="Z437" s="75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</row>
    <row r="438" spans="1:45" ht="15.75" customHeight="1">
      <c r="A438" s="20"/>
      <c r="B438" s="71"/>
      <c r="C438" s="20"/>
      <c r="D438" s="20"/>
      <c r="E438" s="20"/>
      <c r="F438" s="20"/>
      <c r="G438" s="20"/>
      <c r="H438" s="66"/>
      <c r="I438" s="66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142"/>
      <c r="W438" s="141"/>
      <c r="X438" s="74"/>
      <c r="Y438" s="75"/>
      <c r="Z438" s="75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</row>
    <row r="439" spans="1:45" ht="15.75" customHeight="1">
      <c r="A439" s="20"/>
      <c r="B439" s="71"/>
      <c r="C439" s="20"/>
      <c r="D439" s="20"/>
      <c r="E439" s="20"/>
      <c r="F439" s="20"/>
      <c r="G439" s="20"/>
      <c r="H439" s="66"/>
      <c r="I439" s="66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142"/>
      <c r="W439" s="141"/>
      <c r="X439" s="74"/>
      <c r="Y439" s="75"/>
      <c r="Z439" s="75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</row>
    <row r="440" spans="1:45" ht="15.75" customHeight="1">
      <c r="A440" s="20"/>
      <c r="B440" s="71"/>
      <c r="C440" s="20"/>
      <c r="D440" s="20"/>
      <c r="E440" s="20"/>
      <c r="F440" s="20"/>
      <c r="G440" s="20"/>
      <c r="H440" s="66"/>
      <c r="I440" s="66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142"/>
      <c r="W440" s="141"/>
      <c r="X440" s="74"/>
      <c r="Y440" s="75"/>
      <c r="Z440" s="75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</row>
    <row r="441" spans="1:45" ht="15.75" customHeight="1">
      <c r="A441" s="20"/>
      <c r="B441" s="71"/>
      <c r="C441" s="20"/>
      <c r="D441" s="20"/>
      <c r="E441" s="20"/>
      <c r="F441" s="20"/>
      <c r="G441" s="20"/>
      <c r="H441" s="66"/>
      <c r="I441" s="66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142"/>
      <c r="W441" s="141"/>
      <c r="X441" s="74"/>
      <c r="Y441" s="75"/>
      <c r="Z441" s="75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</row>
    <row r="442" spans="1:45" ht="15.75" customHeight="1">
      <c r="A442" s="20"/>
      <c r="B442" s="71"/>
      <c r="C442" s="20"/>
      <c r="D442" s="20"/>
      <c r="E442" s="20"/>
      <c r="F442" s="20"/>
      <c r="G442" s="20"/>
      <c r="H442" s="66"/>
      <c r="I442" s="66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142"/>
      <c r="W442" s="141"/>
      <c r="X442" s="74"/>
      <c r="Y442" s="75"/>
      <c r="Z442" s="75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</row>
    <row r="443" spans="1:45" ht="15.75" customHeight="1">
      <c r="A443" s="20"/>
      <c r="B443" s="71"/>
      <c r="C443" s="20"/>
      <c r="D443" s="20"/>
      <c r="E443" s="20"/>
      <c r="F443" s="20"/>
      <c r="G443" s="20"/>
      <c r="H443" s="66"/>
      <c r="I443" s="66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142"/>
      <c r="W443" s="141"/>
      <c r="X443" s="74"/>
      <c r="Y443" s="75"/>
      <c r="Z443" s="75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</row>
    <row r="444" spans="1:45" ht="15.75" customHeight="1">
      <c r="A444" s="20"/>
      <c r="B444" s="71"/>
      <c r="C444" s="20"/>
      <c r="D444" s="20"/>
      <c r="E444" s="20"/>
      <c r="F444" s="20"/>
      <c r="G444" s="20"/>
      <c r="H444" s="66"/>
      <c r="I444" s="66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142"/>
      <c r="W444" s="141"/>
      <c r="X444" s="74"/>
      <c r="Y444" s="75"/>
      <c r="Z444" s="75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</row>
    <row r="445" spans="1:45" ht="15.75" customHeight="1">
      <c r="A445" s="20"/>
      <c r="B445" s="71"/>
      <c r="C445" s="20"/>
      <c r="D445" s="20"/>
      <c r="E445" s="20"/>
      <c r="F445" s="20"/>
      <c r="G445" s="20"/>
      <c r="H445" s="66"/>
      <c r="I445" s="66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142"/>
      <c r="W445" s="141"/>
      <c r="X445" s="74"/>
      <c r="Y445" s="75"/>
      <c r="Z445" s="75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</row>
    <row r="446" spans="1:45" ht="15.75" customHeight="1">
      <c r="A446" s="20"/>
      <c r="B446" s="71"/>
      <c r="C446" s="20"/>
      <c r="D446" s="20"/>
      <c r="E446" s="20"/>
      <c r="F446" s="20"/>
      <c r="G446" s="20"/>
      <c r="H446" s="66"/>
      <c r="I446" s="66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142"/>
      <c r="W446" s="141"/>
      <c r="X446" s="74"/>
      <c r="Y446" s="75"/>
      <c r="Z446" s="75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</row>
    <row r="447" spans="1:45" ht="15.75" customHeight="1">
      <c r="A447" s="20"/>
      <c r="B447" s="71"/>
      <c r="C447" s="20"/>
      <c r="D447" s="20"/>
      <c r="E447" s="20"/>
      <c r="F447" s="20"/>
      <c r="G447" s="20"/>
      <c r="H447" s="66"/>
      <c r="I447" s="66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142"/>
      <c r="W447" s="141"/>
      <c r="X447" s="74"/>
      <c r="Y447" s="75"/>
      <c r="Z447" s="75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</row>
    <row r="448" spans="1:45" ht="15.75" customHeight="1">
      <c r="A448" s="20"/>
      <c r="B448" s="71"/>
      <c r="C448" s="20"/>
      <c r="D448" s="20"/>
      <c r="E448" s="20"/>
      <c r="F448" s="20"/>
      <c r="G448" s="20"/>
      <c r="H448" s="66"/>
      <c r="I448" s="66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142"/>
      <c r="W448" s="141"/>
      <c r="X448" s="74"/>
      <c r="Y448" s="75"/>
      <c r="Z448" s="75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</row>
    <row r="449" spans="1:45" ht="15.75" customHeight="1">
      <c r="A449" s="20"/>
      <c r="B449" s="71"/>
      <c r="C449" s="20"/>
      <c r="D449" s="20"/>
      <c r="E449" s="20"/>
      <c r="F449" s="20"/>
      <c r="G449" s="20"/>
      <c r="H449" s="66"/>
      <c r="I449" s="66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142"/>
      <c r="W449" s="141"/>
      <c r="X449" s="74"/>
      <c r="Y449" s="75"/>
      <c r="Z449" s="75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</row>
    <row r="450" spans="1:45" ht="15.75" customHeight="1">
      <c r="A450" s="20"/>
      <c r="B450" s="71"/>
      <c r="C450" s="20"/>
      <c r="D450" s="20"/>
      <c r="E450" s="20"/>
      <c r="F450" s="20"/>
      <c r="G450" s="20"/>
      <c r="H450" s="66"/>
      <c r="I450" s="66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142"/>
      <c r="W450" s="141"/>
      <c r="X450" s="74"/>
      <c r="Y450" s="75"/>
      <c r="Z450" s="75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</row>
    <row r="451" spans="1:45" ht="15.75" customHeight="1">
      <c r="A451" s="20"/>
      <c r="B451" s="71"/>
      <c r="C451" s="20"/>
      <c r="D451" s="20"/>
      <c r="E451" s="20"/>
      <c r="F451" s="20"/>
      <c r="G451" s="20"/>
      <c r="H451" s="66"/>
      <c r="I451" s="66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142"/>
      <c r="W451" s="141"/>
      <c r="X451" s="74"/>
      <c r="Y451" s="75"/>
      <c r="Z451" s="75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</row>
    <row r="452" spans="1:45" ht="15.75" customHeight="1">
      <c r="A452" s="20"/>
      <c r="B452" s="71"/>
      <c r="C452" s="20"/>
      <c r="D452" s="20"/>
      <c r="E452" s="20"/>
      <c r="F452" s="20"/>
      <c r="G452" s="20"/>
      <c r="H452" s="66"/>
      <c r="I452" s="66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142"/>
      <c r="W452" s="141"/>
      <c r="X452" s="74"/>
      <c r="Y452" s="75"/>
      <c r="Z452" s="75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</row>
    <row r="453" spans="1:45" ht="15.75" customHeight="1">
      <c r="A453" s="20"/>
      <c r="B453" s="71"/>
      <c r="C453" s="20"/>
      <c r="D453" s="20"/>
      <c r="E453" s="20"/>
      <c r="F453" s="20"/>
      <c r="G453" s="20"/>
      <c r="H453" s="66"/>
      <c r="I453" s="66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142"/>
      <c r="W453" s="141"/>
      <c r="X453" s="74"/>
      <c r="Y453" s="75"/>
      <c r="Z453" s="75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</row>
    <row r="454" spans="1:45" ht="15.75" customHeight="1">
      <c r="A454" s="20"/>
      <c r="B454" s="71"/>
      <c r="C454" s="20"/>
      <c r="D454" s="20"/>
      <c r="E454" s="20"/>
      <c r="F454" s="20"/>
      <c r="G454" s="20"/>
      <c r="H454" s="66"/>
      <c r="I454" s="66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142"/>
      <c r="W454" s="141"/>
      <c r="X454" s="74"/>
      <c r="Y454" s="75"/>
      <c r="Z454" s="75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</row>
    <row r="455" spans="1:45" ht="15.75" customHeight="1">
      <c r="A455" s="20"/>
      <c r="B455" s="71"/>
      <c r="C455" s="20"/>
      <c r="D455" s="20"/>
      <c r="E455" s="20"/>
      <c r="F455" s="20"/>
      <c r="G455" s="20"/>
      <c r="H455" s="66"/>
      <c r="I455" s="66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142"/>
      <c r="W455" s="141"/>
      <c r="X455" s="74"/>
      <c r="Y455" s="75"/>
      <c r="Z455" s="75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</row>
    <row r="456" spans="1:45" ht="15.75" customHeight="1">
      <c r="A456" s="20"/>
      <c r="B456" s="71"/>
      <c r="C456" s="20"/>
      <c r="D456" s="20"/>
      <c r="E456" s="20"/>
      <c r="F456" s="20"/>
      <c r="G456" s="20"/>
      <c r="H456" s="66"/>
      <c r="I456" s="66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142"/>
      <c r="W456" s="141"/>
      <c r="X456" s="74"/>
      <c r="Y456" s="75"/>
      <c r="Z456" s="75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</row>
    <row r="457" spans="1:45" ht="15.75" customHeight="1">
      <c r="A457" s="20"/>
      <c r="B457" s="71"/>
      <c r="C457" s="20"/>
      <c r="D457" s="20"/>
      <c r="E457" s="20"/>
      <c r="F457" s="20"/>
      <c r="G457" s="20"/>
      <c r="H457" s="66"/>
      <c r="I457" s="66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142"/>
      <c r="W457" s="141"/>
      <c r="X457" s="74"/>
      <c r="Y457" s="75"/>
      <c r="Z457" s="75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</row>
    <row r="458" spans="1:45" ht="15.75" customHeight="1">
      <c r="A458" s="20"/>
      <c r="B458" s="71"/>
      <c r="C458" s="20"/>
      <c r="D458" s="20"/>
      <c r="E458" s="20"/>
      <c r="F458" s="20"/>
      <c r="G458" s="20"/>
      <c r="H458" s="66"/>
      <c r="I458" s="66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142"/>
      <c r="W458" s="141"/>
      <c r="X458" s="74"/>
      <c r="Y458" s="75"/>
      <c r="Z458" s="75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</row>
    <row r="459" spans="1:45" ht="15.75" customHeight="1">
      <c r="A459" s="20"/>
      <c r="B459" s="71"/>
      <c r="C459" s="20"/>
      <c r="D459" s="20"/>
      <c r="E459" s="20"/>
      <c r="F459" s="20"/>
      <c r="G459" s="20"/>
      <c r="H459" s="66"/>
      <c r="I459" s="66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142"/>
      <c r="W459" s="141"/>
      <c r="X459" s="74"/>
      <c r="Y459" s="75"/>
      <c r="Z459" s="75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</row>
    <row r="460" spans="1:45" ht="15.75" customHeight="1">
      <c r="A460" s="20"/>
      <c r="B460" s="71"/>
      <c r="C460" s="20"/>
      <c r="D460" s="20"/>
      <c r="E460" s="20"/>
      <c r="F460" s="20"/>
      <c r="G460" s="20"/>
      <c r="H460" s="66"/>
      <c r="I460" s="66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142"/>
      <c r="W460" s="141"/>
      <c r="X460" s="74"/>
      <c r="Y460" s="75"/>
      <c r="Z460" s="75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</row>
    <row r="461" spans="1:45" ht="15.75" customHeight="1">
      <c r="A461" s="20"/>
      <c r="B461" s="71"/>
      <c r="C461" s="20"/>
      <c r="D461" s="20"/>
      <c r="E461" s="20"/>
      <c r="F461" s="20"/>
      <c r="G461" s="20"/>
      <c r="H461" s="66"/>
      <c r="I461" s="66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142"/>
      <c r="W461" s="141"/>
      <c r="X461" s="74"/>
      <c r="Y461" s="75"/>
      <c r="Z461" s="75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</row>
    <row r="462" spans="1:45" ht="15.75" customHeight="1">
      <c r="A462" s="20"/>
      <c r="B462" s="71"/>
      <c r="C462" s="20"/>
      <c r="D462" s="20"/>
      <c r="E462" s="20"/>
      <c r="F462" s="20"/>
      <c r="G462" s="20"/>
      <c r="H462" s="66"/>
      <c r="I462" s="66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142"/>
      <c r="W462" s="141"/>
      <c r="X462" s="74"/>
      <c r="Y462" s="75"/>
      <c r="Z462" s="75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</row>
    <row r="463" spans="1:45" ht="15.75" customHeight="1">
      <c r="A463" s="20"/>
      <c r="B463" s="71"/>
      <c r="C463" s="20"/>
      <c r="D463" s="20"/>
      <c r="E463" s="20"/>
      <c r="F463" s="20"/>
      <c r="G463" s="20"/>
      <c r="H463" s="66"/>
      <c r="I463" s="66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142"/>
      <c r="W463" s="141"/>
      <c r="X463" s="74"/>
      <c r="Y463" s="75"/>
      <c r="Z463" s="75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</row>
    <row r="464" spans="1:45" ht="15.75" customHeight="1">
      <c r="A464" s="20"/>
      <c r="B464" s="71"/>
      <c r="C464" s="20"/>
      <c r="D464" s="20"/>
      <c r="E464" s="20"/>
      <c r="F464" s="20"/>
      <c r="G464" s="20"/>
      <c r="H464" s="66"/>
      <c r="I464" s="66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142"/>
      <c r="W464" s="141"/>
      <c r="X464" s="74"/>
      <c r="Y464" s="75"/>
      <c r="Z464" s="75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</row>
    <row r="465" spans="1:45" ht="15.75" customHeight="1">
      <c r="A465" s="20"/>
      <c r="B465" s="71"/>
      <c r="C465" s="20"/>
      <c r="D465" s="20"/>
      <c r="E465" s="20"/>
      <c r="F465" s="20"/>
      <c r="G465" s="20"/>
      <c r="H465" s="66"/>
      <c r="I465" s="66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142"/>
      <c r="W465" s="141"/>
      <c r="X465" s="74"/>
      <c r="Y465" s="75"/>
      <c r="Z465" s="75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</row>
    <row r="466" spans="1:45" ht="15.75" customHeight="1">
      <c r="A466" s="20"/>
      <c r="B466" s="71"/>
      <c r="C466" s="20"/>
      <c r="D466" s="20"/>
      <c r="E466" s="20"/>
      <c r="F466" s="20"/>
      <c r="G466" s="20"/>
      <c r="H466" s="66"/>
      <c r="I466" s="66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142"/>
      <c r="W466" s="141"/>
      <c r="X466" s="74"/>
      <c r="Y466" s="75"/>
      <c r="Z466" s="75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</row>
    <row r="467" spans="1:45" ht="15.75" customHeight="1">
      <c r="A467" s="20"/>
      <c r="B467" s="71"/>
      <c r="C467" s="20"/>
      <c r="D467" s="20"/>
      <c r="E467" s="20"/>
      <c r="F467" s="20"/>
      <c r="G467" s="20"/>
      <c r="H467" s="66"/>
      <c r="I467" s="66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142"/>
      <c r="W467" s="141"/>
      <c r="X467" s="74"/>
      <c r="Y467" s="75"/>
      <c r="Z467" s="75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</row>
    <row r="468" spans="1:45" ht="15.75" customHeight="1">
      <c r="A468" s="20"/>
      <c r="B468" s="71"/>
      <c r="C468" s="20"/>
      <c r="D468" s="20"/>
      <c r="E468" s="20"/>
      <c r="F468" s="20"/>
      <c r="G468" s="20"/>
      <c r="H468" s="66"/>
      <c r="I468" s="66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142"/>
      <c r="W468" s="141"/>
      <c r="X468" s="74"/>
      <c r="Y468" s="75"/>
      <c r="Z468" s="75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</row>
    <row r="469" spans="1:45" ht="15.75" customHeight="1">
      <c r="A469" s="20"/>
      <c r="B469" s="71"/>
      <c r="C469" s="20"/>
      <c r="D469" s="20"/>
      <c r="E469" s="20"/>
      <c r="F469" s="20"/>
      <c r="G469" s="20"/>
      <c r="H469" s="66"/>
      <c r="I469" s="66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142"/>
      <c r="W469" s="141"/>
      <c r="X469" s="74"/>
      <c r="Y469" s="75"/>
      <c r="Z469" s="75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</row>
    <row r="470" spans="1:45" ht="15.75" customHeight="1">
      <c r="A470" s="20"/>
      <c r="B470" s="71"/>
      <c r="C470" s="20"/>
      <c r="D470" s="20"/>
      <c r="E470" s="20"/>
      <c r="F470" s="20"/>
      <c r="G470" s="20"/>
      <c r="H470" s="66"/>
      <c r="I470" s="66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142"/>
      <c r="W470" s="141"/>
      <c r="X470" s="74"/>
      <c r="Y470" s="75"/>
      <c r="Z470" s="75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</row>
    <row r="471" spans="1:45" ht="15.75" customHeight="1">
      <c r="A471" s="20"/>
      <c r="B471" s="71"/>
      <c r="C471" s="20"/>
      <c r="D471" s="20"/>
      <c r="E471" s="20"/>
      <c r="F471" s="20"/>
      <c r="G471" s="20"/>
      <c r="H471" s="66"/>
      <c r="I471" s="66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142"/>
      <c r="W471" s="141"/>
      <c r="X471" s="74"/>
      <c r="Y471" s="75"/>
      <c r="Z471" s="75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</row>
    <row r="472" spans="1:45" ht="15.75" customHeight="1">
      <c r="A472" s="20"/>
      <c r="B472" s="71"/>
      <c r="C472" s="20"/>
      <c r="D472" s="20"/>
      <c r="E472" s="20"/>
      <c r="F472" s="20"/>
      <c r="G472" s="20"/>
      <c r="H472" s="66"/>
      <c r="I472" s="66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142"/>
      <c r="W472" s="141"/>
      <c r="X472" s="74"/>
      <c r="Y472" s="75"/>
      <c r="Z472" s="75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</row>
    <row r="473" spans="1:45" ht="15.75" customHeight="1">
      <c r="A473" s="20"/>
      <c r="B473" s="71"/>
      <c r="C473" s="20"/>
      <c r="D473" s="20"/>
      <c r="E473" s="20"/>
      <c r="F473" s="20"/>
      <c r="G473" s="20"/>
      <c r="H473" s="66"/>
      <c r="I473" s="66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142"/>
      <c r="W473" s="141"/>
      <c r="X473" s="74"/>
      <c r="Y473" s="75"/>
      <c r="Z473" s="75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</row>
    <row r="474" spans="1:45" ht="15.75" customHeight="1">
      <c r="A474" s="20"/>
      <c r="B474" s="71"/>
      <c r="C474" s="20"/>
      <c r="D474" s="20"/>
      <c r="E474" s="20"/>
      <c r="F474" s="20"/>
      <c r="G474" s="20"/>
      <c r="H474" s="66"/>
      <c r="I474" s="66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142"/>
      <c r="W474" s="141"/>
      <c r="X474" s="74"/>
      <c r="Y474" s="75"/>
      <c r="Z474" s="75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</row>
    <row r="475" spans="1:45" ht="15.75" customHeight="1">
      <c r="A475" s="20"/>
      <c r="B475" s="71"/>
      <c r="C475" s="20"/>
      <c r="D475" s="20"/>
      <c r="E475" s="20"/>
      <c r="F475" s="20"/>
      <c r="G475" s="20"/>
      <c r="H475" s="66"/>
      <c r="I475" s="66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142"/>
      <c r="W475" s="141"/>
      <c r="X475" s="74"/>
      <c r="Y475" s="75"/>
      <c r="Z475" s="75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</row>
    <row r="476" spans="1:45" ht="15.75" customHeight="1">
      <c r="A476" s="20"/>
      <c r="B476" s="71"/>
      <c r="C476" s="20"/>
      <c r="D476" s="20"/>
      <c r="E476" s="20"/>
      <c r="F476" s="20"/>
      <c r="G476" s="20"/>
      <c r="H476" s="66"/>
      <c r="I476" s="66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142"/>
      <c r="W476" s="141"/>
      <c r="X476" s="74"/>
      <c r="Y476" s="75"/>
      <c r="Z476" s="75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</row>
    <row r="477" spans="1:45" ht="15.75" customHeight="1">
      <c r="A477" s="20"/>
      <c r="B477" s="71"/>
      <c r="C477" s="20"/>
      <c r="D477" s="20"/>
      <c r="E477" s="20"/>
      <c r="F477" s="20"/>
      <c r="G477" s="20"/>
      <c r="H477" s="66"/>
      <c r="I477" s="66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142"/>
      <c r="W477" s="141"/>
      <c r="X477" s="74"/>
      <c r="Y477" s="75"/>
      <c r="Z477" s="75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</row>
    <row r="478" spans="1:45" ht="15.75" customHeight="1">
      <c r="A478" s="20"/>
      <c r="B478" s="71"/>
      <c r="C478" s="20"/>
      <c r="D478" s="20"/>
      <c r="E478" s="20"/>
      <c r="F478" s="20"/>
      <c r="G478" s="20"/>
      <c r="H478" s="66"/>
      <c r="I478" s="66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142"/>
      <c r="W478" s="141"/>
      <c r="X478" s="74"/>
      <c r="Y478" s="75"/>
      <c r="Z478" s="75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</row>
    <row r="479" spans="1:45" ht="15.75" customHeight="1">
      <c r="A479" s="20"/>
      <c r="B479" s="71"/>
      <c r="C479" s="20"/>
      <c r="D479" s="20"/>
      <c r="E479" s="20"/>
      <c r="F479" s="20"/>
      <c r="G479" s="20"/>
      <c r="H479" s="66"/>
      <c r="I479" s="66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142"/>
      <c r="W479" s="141"/>
      <c r="X479" s="74"/>
      <c r="Y479" s="75"/>
      <c r="Z479" s="75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</row>
    <row r="480" spans="1:45" ht="15.75" customHeight="1">
      <c r="A480" s="20"/>
      <c r="B480" s="71"/>
      <c r="C480" s="20"/>
      <c r="D480" s="20"/>
      <c r="E480" s="20"/>
      <c r="F480" s="20"/>
      <c r="G480" s="20"/>
      <c r="H480" s="66"/>
      <c r="I480" s="66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142"/>
      <c r="W480" s="141"/>
      <c r="X480" s="74"/>
      <c r="Y480" s="75"/>
      <c r="Z480" s="75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</row>
    <row r="481" spans="1:45" ht="15.75" customHeight="1">
      <c r="A481" s="20"/>
      <c r="B481" s="71"/>
      <c r="C481" s="20"/>
      <c r="D481" s="20"/>
      <c r="E481" s="20"/>
      <c r="F481" s="20"/>
      <c r="G481" s="20"/>
      <c r="H481" s="66"/>
      <c r="I481" s="66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142"/>
      <c r="W481" s="141"/>
      <c r="X481" s="74"/>
      <c r="Y481" s="75"/>
      <c r="Z481" s="75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</row>
    <row r="482" spans="1:45" ht="15.75" customHeight="1">
      <c r="A482" s="20"/>
      <c r="B482" s="71"/>
      <c r="C482" s="20"/>
      <c r="D482" s="20"/>
      <c r="E482" s="20"/>
      <c r="F482" s="20"/>
      <c r="G482" s="20"/>
      <c r="H482" s="66"/>
      <c r="I482" s="66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142"/>
      <c r="W482" s="141"/>
      <c r="X482" s="74"/>
      <c r="Y482" s="75"/>
      <c r="Z482" s="75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</row>
    <row r="483" spans="1:45" ht="15.75" customHeight="1">
      <c r="A483" s="20"/>
      <c r="B483" s="71"/>
      <c r="C483" s="20"/>
      <c r="D483" s="20"/>
      <c r="E483" s="20"/>
      <c r="F483" s="20"/>
      <c r="G483" s="20"/>
      <c r="H483" s="66"/>
      <c r="I483" s="66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142"/>
      <c r="W483" s="141"/>
      <c r="X483" s="74"/>
      <c r="Y483" s="75"/>
      <c r="Z483" s="75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</row>
    <row r="484" spans="1:45" ht="15.75" customHeight="1">
      <c r="A484" s="20"/>
      <c r="B484" s="71"/>
      <c r="C484" s="20"/>
      <c r="D484" s="20"/>
      <c r="E484" s="20"/>
      <c r="F484" s="20"/>
      <c r="G484" s="20"/>
      <c r="H484" s="66"/>
      <c r="I484" s="66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142"/>
      <c r="W484" s="141"/>
      <c r="X484" s="74"/>
      <c r="Y484" s="75"/>
      <c r="Z484" s="75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</row>
    <row r="485" spans="1:45" ht="15.75" customHeight="1">
      <c r="A485" s="20"/>
      <c r="B485" s="71"/>
      <c r="C485" s="20"/>
      <c r="D485" s="20"/>
      <c r="E485" s="20"/>
      <c r="F485" s="20"/>
      <c r="G485" s="20"/>
      <c r="H485" s="66"/>
      <c r="I485" s="66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142"/>
      <c r="W485" s="141"/>
      <c r="X485" s="74"/>
      <c r="Y485" s="75"/>
      <c r="Z485" s="75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</row>
    <row r="486" spans="1:45" ht="15.75" customHeight="1">
      <c r="A486" s="20"/>
      <c r="B486" s="71"/>
      <c r="C486" s="20"/>
      <c r="D486" s="20"/>
      <c r="E486" s="20"/>
      <c r="F486" s="20"/>
      <c r="G486" s="20"/>
      <c r="H486" s="66"/>
      <c r="I486" s="66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142"/>
      <c r="W486" s="141"/>
      <c r="X486" s="74"/>
      <c r="Y486" s="75"/>
      <c r="Z486" s="75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</row>
    <row r="487" spans="1:45" ht="15.75" customHeight="1">
      <c r="A487" s="20"/>
      <c r="B487" s="71"/>
      <c r="C487" s="20"/>
      <c r="D487" s="20"/>
      <c r="E487" s="20"/>
      <c r="F487" s="20"/>
      <c r="G487" s="20"/>
      <c r="H487" s="66"/>
      <c r="I487" s="66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142"/>
      <c r="W487" s="141"/>
      <c r="X487" s="74"/>
      <c r="Y487" s="75"/>
      <c r="Z487" s="75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</row>
    <row r="488" spans="1:45" ht="15.75" customHeight="1">
      <c r="A488" s="20"/>
      <c r="B488" s="71"/>
      <c r="C488" s="20"/>
      <c r="D488" s="20"/>
      <c r="E488" s="20"/>
      <c r="F488" s="20"/>
      <c r="G488" s="20"/>
      <c r="H488" s="66"/>
      <c r="I488" s="66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142"/>
      <c r="W488" s="141"/>
      <c r="X488" s="74"/>
      <c r="Y488" s="75"/>
      <c r="Z488" s="75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</row>
    <row r="489" spans="1:45" ht="15.75" customHeight="1">
      <c r="A489" s="20"/>
      <c r="B489" s="71"/>
      <c r="C489" s="20"/>
      <c r="D489" s="20"/>
      <c r="E489" s="20"/>
      <c r="F489" s="20"/>
      <c r="G489" s="20"/>
      <c r="H489" s="66"/>
      <c r="I489" s="66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142"/>
      <c r="W489" s="141"/>
      <c r="X489" s="74"/>
      <c r="Y489" s="75"/>
      <c r="Z489" s="75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</row>
    <row r="490" spans="1:45" ht="15.75" customHeight="1">
      <c r="A490" s="20"/>
      <c r="B490" s="71"/>
      <c r="C490" s="20"/>
      <c r="D490" s="20"/>
      <c r="E490" s="20"/>
      <c r="F490" s="20"/>
      <c r="G490" s="20"/>
      <c r="H490" s="66"/>
      <c r="I490" s="66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142"/>
      <c r="W490" s="141"/>
      <c r="X490" s="74"/>
      <c r="Y490" s="75"/>
      <c r="Z490" s="75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</row>
    <row r="491" spans="1:45" ht="15.75" customHeight="1">
      <c r="A491" s="20"/>
      <c r="B491" s="71"/>
      <c r="C491" s="20"/>
      <c r="D491" s="20"/>
      <c r="E491" s="20"/>
      <c r="F491" s="20"/>
      <c r="G491" s="20"/>
      <c r="H491" s="66"/>
      <c r="I491" s="66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142"/>
      <c r="W491" s="141"/>
      <c r="X491" s="74"/>
      <c r="Y491" s="75"/>
      <c r="Z491" s="75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</row>
    <row r="492" spans="1:45" ht="15.75" customHeight="1">
      <c r="A492" s="20"/>
      <c r="B492" s="71"/>
      <c r="C492" s="20"/>
      <c r="D492" s="20"/>
      <c r="E492" s="20"/>
      <c r="F492" s="20"/>
      <c r="G492" s="20"/>
      <c r="H492" s="66"/>
      <c r="I492" s="66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142"/>
      <c r="W492" s="141"/>
      <c r="X492" s="74"/>
      <c r="Y492" s="75"/>
      <c r="Z492" s="75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</row>
    <row r="493" spans="1:45" ht="15.75" customHeight="1">
      <c r="A493" s="20"/>
      <c r="B493" s="71"/>
      <c r="C493" s="20"/>
      <c r="D493" s="20"/>
      <c r="E493" s="20"/>
      <c r="F493" s="20"/>
      <c r="G493" s="20"/>
      <c r="H493" s="66"/>
      <c r="I493" s="66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142"/>
      <c r="W493" s="141"/>
      <c r="X493" s="74"/>
      <c r="Y493" s="75"/>
      <c r="Z493" s="75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</row>
    <row r="494" spans="1:45" ht="15.75" customHeight="1">
      <c r="A494" s="20"/>
      <c r="B494" s="71"/>
      <c r="C494" s="20"/>
      <c r="D494" s="20"/>
      <c r="E494" s="20"/>
      <c r="F494" s="20"/>
      <c r="G494" s="20"/>
      <c r="H494" s="66"/>
      <c r="I494" s="66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142"/>
      <c r="W494" s="141"/>
      <c r="X494" s="74"/>
      <c r="Y494" s="75"/>
      <c r="Z494" s="75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</row>
    <row r="495" spans="1:45" ht="15.75" customHeight="1">
      <c r="A495" s="20"/>
      <c r="B495" s="71"/>
      <c r="C495" s="20"/>
      <c r="D495" s="20"/>
      <c r="E495" s="20"/>
      <c r="F495" s="20"/>
      <c r="G495" s="20"/>
      <c r="H495" s="66"/>
      <c r="I495" s="66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142"/>
      <c r="W495" s="141"/>
      <c r="X495" s="74"/>
      <c r="Y495" s="75"/>
      <c r="Z495" s="75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</row>
    <row r="496" spans="1:45" ht="15.75" customHeight="1">
      <c r="A496" s="20"/>
      <c r="B496" s="71"/>
      <c r="C496" s="20"/>
      <c r="D496" s="20"/>
      <c r="E496" s="20"/>
      <c r="F496" s="20"/>
      <c r="G496" s="20"/>
      <c r="H496" s="66"/>
      <c r="I496" s="66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142"/>
      <c r="W496" s="141"/>
      <c r="X496" s="74"/>
      <c r="Y496" s="75"/>
      <c r="Z496" s="75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</row>
    <row r="497" spans="1:45" ht="15.75" customHeight="1">
      <c r="A497" s="20"/>
      <c r="B497" s="71"/>
      <c r="C497" s="20"/>
      <c r="D497" s="20"/>
      <c r="E497" s="20"/>
      <c r="F497" s="20"/>
      <c r="G497" s="20"/>
      <c r="H497" s="66"/>
      <c r="I497" s="66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142"/>
      <c r="W497" s="141"/>
      <c r="X497" s="74"/>
      <c r="Y497" s="75"/>
      <c r="Z497" s="75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</row>
    <row r="498" spans="1:45" ht="15.75" customHeight="1">
      <c r="A498" s="20"/>
      <c r="B498" s="71"/>
      <c r="C498" s="20"/>
      <c r="D498" s="20"/>
      <c r="E498" s="20"/>
      <c r="F498" s="20"/>
      <c r="G498" s="20"/>
      <c r="H498" s="66"/>
      <c r="I498" s="66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142"/>
      <c r="W498" s="141"/>
      <c r="X498" s="74"/>
      <c r="Y498" s="75"/>
      <c r="Z498" s="75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</row>
    <row r="499" spans="1:45" ht="15.75" customHeight="1">
      <c r="A499" s="20"/>
      <c r="B499" s="71"/>
      <c r="C499" s="20"/>
      <c r="D499" s="20"/>
      <c r="E499" s="20"/>
      <c r="F499" s="20"/>
      <c r="G499" s="20"/>
      <c r="H499" s="66"/>
      <c r="I499" s="66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142"/>
      <c r="W499" s="141"/>
      <c r="X499" s="74"/>
      <c r="Y499" s="75"/>
      <c r="Z499" s="75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</row>
    <row r="500" spans="1:45" ht="15.75" customHeight="1">
      <c r="A500" s="20"/>
      <c r="B500" s="71"/>
      <c r="C500" s="20"/>
      <c r="D500" s="20"/>
      <c r="E500" s="20"/>
      <c r="F500" s="20"/>
      <c r="G500" s="20"/>
      <c r="H500" s="66"/>
      <c r="I500" s="66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142"/>
      <c r="W500" s="141"/>
      <c r="X500" s="74"/>
      <c r="Y500" s="75"/>
      <c r="Z500" s="75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</row>
    <row r="501" spans="1:45" ht="15.75" customHeight="1">
      <c r="A501" s="20"/>
      <c r="B501" s="71"/>
      <c r="C501" s="20"/>
      <c r="D501" s="20"/>
      <c r="E501" s="20"/>
      <c r="F501" s="20"/>
      <c r="G501" s="20"/>
      <c r="H501" s="66"/>
      <c r="I501" s="66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142"/>
      <c r="W501" s="141"/>
      <c r="X501" s="74"/>
      <c r="Y501" s="75"/>
      <c r="Z501" s="75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</row>
    <row r="502" spans="1:45" ht="15.75" customHeight="1">
      <c r="A502" s="20"/>
      <c r="B502" s="71"/>
      <c r="C502" s="20"/>
      <c r="D502" s="20"/>
      <c r="E502" s="20"/>
      <c r="F502" s="20"/>
      <c r="G502" s="20"/>
      <c r="H502" s="66"/>
      <c r="I502" s="66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142"/>
      <c r="W502" s="141"/>
      <c r="X502" s="74"/>
      <c r="Y502" s="75"/>
      <c r="Z502" s="75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</row>
    <row r="503" spans="1:45" ht="15.75" customHeight="1">
      <c r="A503" s="20"/>
      <c r="B503" s="71"/>
      <c r="C503" s="20"/>
      <c r="D503" s="20"/>
      <c r="E503" s="20"/>
      <c r="F503" s="20"/>
      <c r="G503" s="20"/>
      <c r="H503" s="66"/>
      <c r="I503" s="66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142"/>
      <c r="W503" s="141"/>
      <c r="X503" s="74"/>
      <c r="Y503" s="75"/>
      <c r="Z503" s="75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</row>
    <row r="504" spans="1:45" ht="15.75" customHeight="1">
      <c r="A504" s="20"/>
      <c r="B504" s="71"/>
      <c r="C504" s="20"/>
      <c r="D504" s="20"/>
      <c r="E504" s="20"/>
      <c r="F504" s="20"/>
      <c r="G504" s="20"/>
      <c r="H504" s="66"/>
      <c r="I504" s="66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142"/>
      <c r="W504" s="141"/>
      <c r="X504" s="74"/>
      <c r="Y504" s="75"/>
      <c r="Z504" s="75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</row>
    <row r="505" spans="1:45" ht="15.75" customHeight="1">
      <c r="A505" s="20"/>
      <c r="B505" s="71"/>
      <c r="C505" s="20"/>
      <c r="D505" s="20"/>
      <c r="E505" s="20"/>
      <c r="F505" s="20"/>
      <c r="G505" s="20"/>
      <c r="H505" s="66"/>
      <c r="I505" s="66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142"/>
      <c r="W505" s="141"/>
      <c r="X505" s="74"/>
      <c r="Y505" s="75"/>
      <c r="Z505" s="75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</row>
    <row r="506" spans="1:45" ht="15.75" customHeight="1">
      <c r="A506" s="20"/>
      <c r="B506" s="71"/>
      <c r="C506" s="20"/>
      <c r="D506" s="20"/>
      <c r="E506" s="20"/>
      <c r="F506" s="20"/>
      <c r="G506" s="20"/>
      <c r="H506" s="66"/>
      <c r="I506" s="66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142"/>
      <c r="W506" s="141"/>
      <c r="X506" s="74"/>
      <c r="Y506" s="75"/>
      <c r="Z506" s="75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</row>
    <row r="507" spans="1:45" ht="15.75" customHeight="1">
      <c r="A507" s="20"/>
      <c r="B507" s="71"/>
      <c r="C507" s="20"/>
      <c r="D507" s="20"/>
      <c r="E507" s="20"/>
      <c r="F507" s="20"/>
      <c r="G507" s="20"/>
      <c r="H507" s="66"/>
      <c r="I507" s="66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142"/>
      <c r="W507" s="141"/>
      <c r="X507" s="74"/>
      <c r="Y507" s="75"/>
      <c r="Z507" s="75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</row>
    <row r="508" spans="1:45" ht="15.75" customHeight="1">
      <c r="A508" s="20"/>
      <c r="B508" s="71"/>
      <c r="C508" s="20"/>
      <c r="D508" s="20"/>
      <c r="E508" s="20"/>
      <c r="F508" s="20"/>
      <c r="G508" s="20"/>
      <c r="H508" s="66"/>
      <c r="I508" s="66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142"/>
      <c r="W508" s="141"/>
      <c r="X508" s="74"/>
      <c r="Y508" s="75"/>
      <c r="Z508" s="75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</row>
    <row r="509" spans="1:45" ht="15.75" customHeight="1">
      <c r="A509" s="20"/>
      <c r="B509" s="71"/>
      <c r="C509" s="20"/>
      <c r="D509" s="20"/>
      <c r="E509" s="20"/>
      <c r="F509" s="20"/>
      <c r="G509" s="20"/>
      <c r="H509" s="66"/>
      <c r="I509" s="66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142"/>
      <c r="W509" s="141"/>
      <c r="X509" s="74"/>
      <c r="Y509" s="75"/>
      <c r="Z509" s="75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</row>
    <row r="510" spans="1:45" ht="15.75" customHeight="1">
      <c r="A510" s="20"/>
      <c r="B510" s="71"/>
      <c r="C510" s="20"/>
      <c r="D510" s="20"/>
      <c r="E510" s="20"/>
      <c r="F510" s="20"/>
      <c r="G510" s="20"/>
      <c r="H510" s="66"/>
      <c r="I510" s="66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142"/>
      <c r="W510" s="141"/>
      <c r="X510" s="74"/>
      <c r="Y510" s="75"/>
      <c r="Z510" s="75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</row>
    <row r="511" spans="1:45" ht="15.75" customHeight="1">
      <c r="A511" s="20"/>
      <c r="B511" s="71"/>
      <c r="C511" s="20"/>
      <c r="D511" s="20"/>
      <c r="E511" s="20"/>
      <c r="F511" s="20"/>
      <c r="G511" s="20"/>
      <c r="H511" s="66"/>
      <c r="I511" s="66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142"/>
      <c r="W511" s="141"/>
      <c r="X511" s="74"/>
      <c r="Y511" s="75"/>
      <c r="Z511" s="75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</row>
    <row r="512" spans="1:45" ht="15.75" customHeight="1">
      <c r="A512" s="20"/>
      <c r="B512" s="71"/>
      <c r="C512" s="20"/>
      <c r="D512" s="20"/>
      <c r="E512" s="20"/>
      <c r="F512" s="20"/>
      <c r="G512" s="20"/>
      <c r="H512" s="66"/>
      <c r="I512" s="66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142"/>
      <c r="W512" s="141"/>
      <c r="X512" s="74"/>
      <c r="Y512" s="75"/>
      <c r="Z512" s="75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</row>
    <row r="513" spans="1:45" ht="15.75" customHeight="1">
      <c r="A513" s="20"/>
      <c r="B513" s="71"/>
      <c r="C513" s="20"/>
      <c r="D513" s="20"/>
      <c r="E513" s="20"/>
      <c r="F513" s="20"/>
      <c r="G513" s="20"/>
      <c r="H513" s="66"/>
      <c r="I513" s="66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142"/>
      <c r="W513" s="141"/>
      <c r="X513" s="74"/>
      <c r="Y513" s="75"/>
      <c r="Z513" s="75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</row>
    <row r="514" spans="1:45" ht="15.75" customHeight="1">
      <c r="A514" s="20"/>
      <c r="B514" s="71"/>
      <c r="C514" s="20"/>
      <c r="D514" s="20"/>
      <c r="E514" s="20"/>
      <c r="F514" s="20"/>
      <c r="G514" s="20"/>
      <c r="H514" s="66"/>
      <c r="I514" s="66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142"/>
      <c r="W514" s="141"/>
      <c r="X514" s="74"/>
      <c r="Y514" s="75"/>
      <c r="Z514" s="75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</row>
    <row r="515" spans="1:45" ht="15.75" customHeight="1">
      <c r="A515" s="20"/>
      <c r="B515" s="71"/>
      <c r="C515" s="20"/>
      <c r="D515" s="20"/>
      <c r="E515" s="20"/>
      <c r="F515" s="20"/>
      <c r="G515" s="20"/>
      <c r="H515" s="66"/>
      <c r="I515" s="66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142"/>
      <c r="W515" s="141"/>
      <c r="X515" s="74"/>
      <c r="Y515" s="75"/>
      <c r="Z515" s="75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</row>
    <row r="516" spans="1:45" ht="15.75" customHeight="1">
      <c r="A516" s="20"/>
      <c r="B516" s="71"/>
      <c r="C516" s="20"/>
      <c r="D516" s="20"/>
      <c r="E516" s="20"/>
      <c r="F516" s="20"/>
      <c r="G516" s="20"/>
      <c r="H516" s="66"/>
      <c r="I516" s="66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142"/>
      <c r="W516" s="141"/>
      <c r="X516" s="74"/>
      <c r="Y516" s="75"/>
      <c r="Z516" s="75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</row>
    <row r="517" spans="1:45" ht="15.75" customHeight="1">
      <c r="A517" s="20"/>
      <c r="B517" s="71"/>
      <c r="C517" s="20"/>
      <c r="D517" s="20"/>
      <c r="E517" s="20"/>
      <c r="F517" s="20"/>
      <c r="G517" s="20"/>
      <c r="H517" s="66"/>
      <c r="I517" s="66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142"/>
      <c r="W517" s="141"/>
      <c r="X517" s="74"/>
      <c r="Y517" s="75"/>
      <c r="Z517" s="75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</row>
    <row r="518" spans="1:45" ht="15.75" customHeight="1">
      <c r="A518" s="20"/>
      <c r="B518" s="71"/>
      <c r="C518" s="20"/>
      <c r="D518" s="20"/>
      <c r="E518" s="20"/>
      <c r="F518" s="20"/>
      <c r="G518" s="20"/>
      <c r="H518" s="66"/>
      <c r="I518" s="66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142"/>
      <c r="W518" s="141"/>
      <c r="X518" s="74"/>
      <c r="Y518" s="75"/>
      <c r="Z518" s="75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</row>
    <row r="519" spans="1:45" ht="15.75" customHeight="1">
      <c r="A519" s="20"/>
      <c r="B519" s="71"/>
      <c r="C519" s="20"/>
      <c r="D519" s="20"/>
      <c r="E519" s="20"/>
      <c r="F519" s="20"/>
      <c r="G519" s="20"/>
      <c r="H519" s="66"/>
      <c r="I519" s="66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142"/>
      <c r="W519" s="141"/>
      <c r="X519" s="74"/>
      <c r="Y519" s="75"/>
      <c r="Z519" s="75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</row>
    <row r="520" spans="1:45" ht="15.75" customHeight="1">
      <c r="A520" s="20"/>
      <c r="B520" s="71"/>
      <c r="C520" s="20"/>
      <c r="D520" s="20"/>
      <c r="E520" s="20"/>
      <c r="F520" s="20"/>
      <c r="G520" s="20"/>
      <c r="H520" s="66"/>
      <c r="I520" s="66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142"/>
      <c r="W520" s="141"/>
      <c r="X520" s="74"/>
      <c r="Y520" s="75"/>
      <c r="Z520" s="75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</row>
    <row r="521" spans="1:45" ht="15.75" customHeight="1">
      <c r="A521" s="20"/>
      <c r="B521" s="71"/>
      <c r="C521" s="20"/>
      <c r="D521" s="20"/>
      <c r="E521" s="20"/>
      <c r="F521" s="20"/>
      <c r="G521" s="20"/>
      <c r="H521" s="66"/>
      <c r="I521" s="66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142"/>
      <c r="W521" s="141"/>
      <c r="X521" s="74"/>
      <c r="Y521" s="75"/>
      <c r="Z521" s="75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</row>
    <row r="522" spans="1:45" ht="15.75" customHeight="1">
      <c r="A522" s="20"/>
      <c r="B522" s="71"/>
      <c r="C522" s="20"/>
      <c r="D522" s="20"/>
      <c r="E522" s="20"/>
      <c r="F522" s="20"/>
      <c r="G522" s="20"/>
      <c r="H522" s="66"/>
      <c r="I522" s="66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142"/>
      <c r="W522" s="141"/>
      <c r="X522" s="74"/>
      <c r="Y522" s="75"/>
      <c r="Z522" s="75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</row>
    <row r="523" spans="1:45" ht="15.75" customHeight="1">
      <c r="A523" s="20"/>
      <c r="B523" s="71"/>
      <c r="C523" s="20"/>
      <c r="D523" s="20"/>
      <c r="E523" s="20"/>
      <c r="F523" s="20"/>
      <c r="G523" s="20"/>
      <c r="H523" s="66"/>
      <c r="I523" s="66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142"/>
      <c r="W523" s="141"/>
      <c r="X523" s="74"/>
      <c r="Y523" s="75"/>
      <c r="Z523" s="75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</row>
    <row r="524" spans="1:45" ht="15.75" customHeight="1">
      <c r="A524" s="20"/>
      <c r="B524" s="71"/>
      <c r="C524" s="20"/>
      <c r="D524" s="20"/>
      <c r="E524" s="20"/>
      <c r="F524" s="20"/>
      <c r="G524" s="20"/>
      <c r="H524" s="66"/>
      <c r="I524" s="66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142"/>
      <c r="W524" s="141"/>
      <c r="X524" s="74"/>
      <c r="Y524" s="75"/>
      <c r="Z524" s="75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</row>
    <row r="525" spans="1:45" ht="15.75" customHeight="1">
      <c r="A525" s="20"/>
      <c r="B525" s="71"/>
      <c r="C525" s="20"/>
      <c r="D525" s="20"/>
      <c r="E525" s="20"/>
      <c r="F525" s="20"/>
      <c r="G525" s="20"/>
      <c r="H525" s="66"/>
      <c r="I525" s="66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142"/>
      <c r="W525" s="141"/>
      <c r="X525" s="74"/>
      <c r="Y525" s="75"/>
      <c r="Z525" s="75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</row>
    <row r="526" spans="1:45" ht="15.75" customHeight="1">
      <c r="A526" s="20"/>
      <c r="B526" s="71"/>
      <c r="C526" s="20"/>
      <c r="D526" s="20"/>
      <c r="E526" s="20"/>
      <c r="F526" s="20"/>
      <c r="G526" s="20"/>
      <c r="H526" s="66"/>
      <c r="I526" s="66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142"/>
      <c r="W526" s="141"/>
      <c r="X526" s="74"/>
      <c r="Y526" s="75"/>
      <c r="Z526" s="75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</row>
    <row r="527" spans="1:45" ht="15.75" customHeight="1">
      <c r="A527" s="20"/>
      <c r="B527" s="71"/>
      <c r="C527" s="20"/>
      <c r="D527" s="20"/>
      <c r="E527" s="20"/>
      <c r="F527" s="20"/>
      <c r="G527" s="20"/>
      <c r="H527" s="66"/>
      <c r="I527" s="66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142"/>
      <c r="W527" s="141"/>
      <c r="X527" s="74"/>
      <c r="Y527" s="75"/>
      <c r="Z527" s="75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</row>
    <row r="528" spans="1:45" ht="15.75" customHeight="1">
      <c r="A528" s="20"/>
      <c r="B528" s="71"/>
      <c r="C528" s="20"/>
      <c r="D528" s="20"/>
      <c r="E528" s="20"/>
      <c r="F528" s="20"/>
      <c r="G528" s="20"/>
      <c r="H528" s="66"/>
      <c r="I528" s="66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142"/>
      <c r="W528" s="141"/>
      <c r="X528" s="74"/>
      <c r="Y528" s="75"/>
      <c r="Z528" s="75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</row>
    <row r="529" spans="1:45" ht="15.75" customHeight="1">
      <c r="A529" s="20"/>
      <c r="B529" s="71"/>
      <c r="C529" s="20"/>
      <c r="D529" s="20"/>
      <c r="E529" s="20"/>
      <c r="F529" s="20"/>
      <c r="G529" s="20"/>
      <c r="H529" s="66"/>
      <c r="I529" s="66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142"/>
      <c r="W529" s="141"/>
      <c r="X529" s="74"/>
      <c r="Y529" s="75"/>
      <c r="Z529" s="75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</row>
    <row r="530" spans="1:45" ht="15.75" customHeight="1">
      <c r="A530" s="20"/>
      <c r="B530" s="71"/>
      <c r="C530" s="20"/>
      <c r="D530" s="20"/>
      <c r="E530" s="20"/>
      <c r="F530" s="20"/>
      <c r="G530" s="20"/>
      <c r="H530" s="66"/>
      <c r="I530" s="66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142"/>
      <c r="W530" s="141"/>
      <c r="X530" s="74"/>
      <c r="Y530" s="75"/>
      <c r="Z530" s="75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</row>
    <row r="531" spans="1:45" ht="15.75" customHeight="1">
      <c r="A531" s="20"/>
      <c r="B531" s="71"/>
      <c r="C531" s="20"/>
      <c r="D531" s="20"/>
      <c r="E531" s="20"/>
      <c r="F531" s="20"/>
      <c r="G531" s="20"/>
      <c r="H531" s="66"/>
      <c r="I531" s="66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142"/>
      <c r="W531" s="141"/>
      <c r="X531" s="74"/>
      <c r="Y531" s="75"/>
      <c r="Z531" s="75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</row>
    <row r="532" spans="1:45" ht="15.75" customHeight="1">
      <c r="A532" s="20"/>
      <c r="B532" s="71"/>
      <c r="C532" s="20"/>
      <c r="D532" s="20"/>
      <c r="E532" s="20"/>
      <c r="F532" s="20"/>
      <c r="G532" s="20"/>
      <c r="H532" s="66"/>
      <c r="I532" s="66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142"/>
      <c r="W532" s="141"/>
      <c r="X532" s="74"/>
      <c r="Y532" s="75"/>
      <c r="Z532" s="75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</row>
    <row r="533" spans="1:45" ht="15.75" customHeight="1">
      <c r="A533" s="20"/>
      <c r="B533" s="71"/>
      <c r="C533" s="20"/>
      <c r="D533" s="20"/>
      <c r="E533" s="20"/>
      <c r="F533" s="20"/>
      <c r="G533" s="20"/>
      <c r="H533" s="66"/>
      <c r="I533" s="66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142"/>
      <c r="W533" s="141"/>
      <c r="X533" s="74"/>
      <c r="Y533" s="75"/>
      <c r="Z533" s="75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</row>
    <row r="534" spans="1:45" ht="15.75" customHeight="1">
      <c r="A534" s="20"/>
      <c r="B534" s="71"/>
      <c r="C534" s="20"/>
      <c r="D534" s="20"/>
      <c r="E534" s="20"/>
      <c r="F534" s="20"/>
      <c r="G534" s="20"/>
      <c r="H534" s="66"/>
      <c r="I534" s="66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142"/>
      <c r="W534" s="141"/>
      <c r="X534" s="74"/>
      <c r="Y534" s="75"/>
      <c r="Z534" s="75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</row>
    <row r="535" spans="1:45" ht="15.75" customHeight="1">
      <c r="A535" s="20"/>
      <c r="B535" s="71"/>
      <c r="C535" s="20"/>
      <c r="D535" s="20"/>
      <c r="E535" s="20"/>
      <c r="F535" s="20"/>
      <c r="G535" s="20"/>
      <c r="H535" s="66"/>
      <c r="I535" s="66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142"/>
      <c r="W535" s="141"/>
      <c r="X535" s="74"/>
      <c r="Y535" s="75"/>
      <c r="Z535" s="75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</row>
    <row r="536" spans="1:45" ht="15.75" customHeight="1">
      <c r="A536" s="20"/>
      <c r="B536" s="71"/>
      <c r="C536" s="20"/>
      <c r="D536" s="20"/>
      <c r="E536" s="20"/>
      <c r="F536" s="20"/>
      <c r="G536" s="20"/>
      <c r="H536" s="66"/>
      <c r="I536" s="66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142"/>
      <c r="W536" s="141"/>
      <c r="X536" s="74"/>
      <c r="Y536" s="75"/>
      <c r="Z536" s="75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</row>
    <row r="537" spans="1:45" ht="15.75" customHeight="1">
      <c r="A537" s="20"/>
      <c r="B537" s="71"/>
      <c r="C537" s="20"/>
      <c r="D537" s="20"/>
      <c r="E537" s="20"/>
      <c r="F537" s="20"/>
      <c r="G537" s="20"/>
      <c r="H537" s="66"/>
      <c r="I537" s="66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142"/>
      <c r="W537" s="141"/>
      <c r="X537" s="74"/>
      <c r="Y537" s="75"/>
      <c r="Z537" s="75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</row>
    <row r="538" spans="1:45" ht="15.75" customHeight="1">
      <c r="A538" s="20"/>
      <c r="B538" s="71"/>
      <c r="C538" s="20"/>
      <c r="D538" s="20"/>
      <c r="E538" s="20"/>
      <c r="F538" s="20"/>
      <c r="G538" s="20"/>
      <c r="H538" s="66"/>
      <c r="I538" s="66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142"/>
      <c r="W538" s="141"/>
      <c r="X538" s="74"/>
      <c r="Y538" s="75"/>
      <c r="Z538" s="75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</row>
    <row r="539" spans="1:45" ht="15.75" customHeight="1">
      <c r="A539" s="20"/>
      <c r="B539" s="71"/>
      <c r="C539" s="20"/>
      <c r="D539" s="20"/>
      <c r="E539" s="20"/>
      <c r="F539" s="20"/>
      <c r="G539" s="20"/>
      <c r="H539" s="66"/>
      <c r="I539" s="66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142"/>
      <c r="W539" s="141"/>
      <c r="X539" s="74"/>
      <c r="Y539" s="75"/>
      <c r="Z539" s="75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</row>
    <row r="540" spans="1:45" ht="15.75" customHeight="1">
      <c r="A540" s="20"/>
      <c r="B540" s="71"/>
      <c r="C540" s="20"/>
      <c r="D540" s="20"/>
      <c r="E540" s="20"/>
      <c r="F540" s="20"/>
      <c r="G540" s="20"/>
      <c r="H540" s="66"/>
      <c r="I540" s="66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142"/>
      <c r="W540" s="141"/>
      <c r="X540" s="74"/>
      <c r="Y540" s="75"/>
      <c r="Z540" s="75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</row>
    <row r="541" spans="1:45" ht="15.75" customHeight="1">
      <c r="A541" s="20"/>
      <c r="B541" s="71"/>
      <c r="C541" s="20"/>
      <c r="D541" s="20"/>
      <c r="E541" s="20"/>
      <c r="F541" s="20"/>
      <c r="G541" s="20"/>
      <c r="H541" s="66"/>
      <c r="I541" s="66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142"/>
      <c r="W541" s="141"/>
      <c r="X541" s="74"/>
      <c r="Y541" s="75"/>
      <c r="Z541" s="75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</row>
    <row r="542" spans="1:45" ht="15.75" customHeight="1">
      <c r="A542" s="20"/>
      <c r="B542" s="71"/>
      <c r="C542" s="20"/>
      <c r="D542" s="20"/>
      <c r="E542" s="20"/>
      <c r="F542" s="20"/>
      <c r="G542" s="20"/>
      <c r="H542" s="66"/>
      <c r="I542" s="66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142"/>
      <c r="W542" s="141"/>
      <c r="X542" s="74"/>
      <c r="Y542" s="75"/>
      <c r="Z542" s="75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</row>
    <row r="543" spans="1:45" ht="15.75" customHeight="1">
      <c r="A543" s="20"/>
      <c r="B543" s="71"/>
      <c r="C543" s="20"/>
      <c r="D543" s="20"/>
      <c r="E543" s="20"/>
      <c r="F543" s="20"/>
      <c r="G543" s="20"/>
      <c r="H543" s="66"/>
      <c r="I543" s="66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142"/>
      <c r="W543" s="141"/>
      <c r="X543" s="74"/>
      <c r="Y543" s="75"/>
      <c r="Z543" s="75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</row>
    <row r="544" spans="1:45" ht="15.75" customHeight="1">
      <c r="A544" s="20"/>
      <c r="B544" s="71"/>
      <c r="C544" s="20"/>
      <c r="D544" s="20"/>
      <c r="E544" s="20"/>
      <c r="F544" s="20"/>
      <c r="G544" s="20"/>
      <c r="H544" s="66"/>
      <c r="I544" s="66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142"/>
      <c r="W544" s="141"/>
      <c r="X544" s="74"/>
      <c r="Y544" s="75"/>
      <c r="Z544" s="75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</row>
    <row r="545" spans="1:45" ht="15.75" customHeight="1">
      <c r="A545" s="20"/>
      <c r="B545" s="71"/>
      <c r="C545" s="20"/>
      <c r="D545" s="20"/>
      <c r="E545" s="20"/>
      <c r="F545" s="20"/>
      <c r="G545" s="20"/>
      <c r="H545" s="66"/>
      <c r="I545" s="66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142"/>
      <c r="W545" s="141"/>
      <c r="X545" s="74"/>
      <c r="Y545" s="75"/>
      <c r="Z545" s="75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</row>
    <row r="546" spans="1:45" ht="15.75" customHeight="1">
      <c r="A546" s="20"/>
      <c r="B546" s="71"/>
      <c r="C546" s="20"/>
      <c r="D546" s="20"/>
      <c r="E546" s="20"/>
      <c r="F546" s="20"/>
      <c r="G546" s="20"/>
      <c r="H546" s="66"/>
      <c r="I546" s="66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142"/>
      <c r="W546" s="141"/>
      <c r="X546" s="74"/>
      <c r="Y546" s="75"/>
      <c r="Z546" s="75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</row>
    <row r="547" spans="1:45" ht="15.75" customHeight="1">
      <c r="A547" s="20"/>
      <c r="B547" s="71"/>
      <c r="C547" s="20"/>
      <c r="D547" s="20"/>
      <c r="E547" s="20"/>
      <c r="F547" s="20"/>
      <c r="G547" s="20"/>
      <c r="H547" s="66"/>
      <c r="I547" s="66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142"/>
      <c r="W547" s="141"/>
      <c r="X547" s="74"/>
      <c r="Y547" s="75"/>
      <c r="Z547" s="75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</row>
    <row r="548" spans="1:45" ht="15.75" customHeight="1">
      <c r="A548" s="20"/>
      <c r="B548" s="71"/>
      <c r="C548" s="20"/>
      <c r="D548" s="20"/>
      <c r="E548" s="20"/>
      <c r="F548" s="20"/>
      <c r="G548" s="20"/>
      <c r="H548" s="66"/>
      <c r="I548" s="66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142"/>
      <c r="W548" s="141"/>
      <c r="X548" s="74"/>
      <c r="Y548" s="75"/>
      <c r="Z548" s="75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</row>
    <row r="549" spans="1:45" ht="15.75" customHeight="1">
      <c r="A549" s="20"/>
      <c r="B549" s="71"/>
      <c r="C549" s="20"/>
      <c r="D549" s="20"/>
      <c r="E549" s="20"/>
      <c r="F549" s="20"/>
      <c r="G549" s="20"/>
      <c r="H549" s="66"/>
      <c r="I549" s="66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142"/>
      <c r="W549" s="141"/>
      <c r="X549" s="74"/>
      <c r="Y549" s="75"/>
      <c r="Z549" s="75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</row>
    <row r="550" spans="1:45" ht="15.75" customHeight="1">
      <c r="A550" s="20"/>
      <c r="B550" s="71"/>
      <c r="C550" s="20"/>
      <c r="D550" s="20"/>
      <c r="E550" s="20"/>
      <c r="F550" s="20"/>
      <c r="G550" s="20"/>
      <c r="H550" s="66"/>
      <c r="I550" s="66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142"/>
      <c r="W550" s="141"/>
      <c r="X550" s="74"/>
      <c r="Y550" s="75"/>
      <c r="Z550" s="75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</row>
    <row r="551" spans="1:45" ht="15.75" customHeight="1">
      <c r="A551" s="20"/>
      <c r="B551" s="71"/>
      <c r="C551" s="20"/>
      <c r="D551" s="20"/>
      <c r="E551" s="20"/>
      <c r="F551" s="20"/>
      <c r="G551" s="20"/>
      <c r="H551" s="66"/>
      <c r="I551" s="66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142"/>
      <c r="W551" s="141"/>
      <c r="X551" s="74"/>
      <c r="Y551" s="75"/>
      <c r="Z551" s="75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</row>
    <row r="552" spans="1:45" ht="15.75" customHeight="1">
      <c r="A552" s="20"/>
      <c r="B552" s="71"/>
      <c r="C552" s="20"/>
      <c r="D552" s="20"/>
      <c r="E552" s="20"/>
      <c r="F552" s="20"/>
      <c r="G552" s="20"/>
      <c r="H552" s="66"/>
      <c r="I552" s="66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142"/>
      <c r="W552" s="141"/>
      <c r="X552" s="74"/>
      <c r="Y552" s="75"/>
      <c r="Z552" s="75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</row>
    <row r="553" spans="1:45" ht="15.75" customHeight="1">
      <c r="A553" s="20"/>
      <c r="B553" s="71"/>
      <c r="C553" s="20"/>
      <c r="D553" s="20"/>
      <c r="E553" s="20"/>
      <c r="F553" s="20"/>
      <c r="G553" s="20"/>
      <c r="H553" s="66"/>
      <c r="I553" s="66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142"/>
      <c r="W553" s="141"/>
      <c r="X553" s="74"/>
      <c r="Y553" s="75"/>
      <c r="Z553" s="75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</row>
    <row r="554" spans="1:45" ht="15.75" customHeight="1">
      <c r="A554" s="20"/>
      <c r="B554" s="71"/>
      <c r="C554" s="20"/>
      <c r="D554" s="20"/>
      <c r="E554" s="20"/>
      <c r="F554" s="20"/>
      <c r="G554" s="20"/>
      <c r="H554" s="66"/>
      <c r="I554" s="66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142"/>
      <c r="W554" s="141"/>
      <c r="X554" s="74"/>
      <c r="Y554" s="75"/>
      <c r="Z554" s="75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</row>
    <row r="555" spans="1:45" ht="15.75" customHeight="1">
      <c r="A555" s="20"/>
      <c r="B555" s="71"/>
      <c r="C555" s="20"/>
      <c r="D555" s="20"/>
      <c r="E555" s="20"/>
      <c r="F555" s="20"/>
      <c r="G555" s="20"/>
      <c r="H555" s="66"/>
      <c r="I555" s="66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142"/>
      <c r="W555" s="141"/>
      <c r="X555" s="74"/>
      <c r="Y555" s="75"/>
      <c r="Z555" s="75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</row>
    <row r="556" spans="1:45" ht="15.75" customHeight="1">
      <c r="A556" s="20"/>
      <c r="B556" s="71"/>
      <c r="C556" s="20"/>
      <c r="D556" s="20"/>
      <c r="E556" s="20"/>
      <c r="F556" s="20"/>
      <c r="G556" s="20"/>
      <c r="H556" s="66"/>
      <c r="I556" s="66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142"/>
      <c r="W556" s="141"/>
      <c r="X556" s="74"/>
      <c r="Y556" s="75"/>
      <c r="Z556" s="75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</row>
    <row r="557" spans="1:45" ht="15.75" customHeight="1">
      <c r="A557" s="20"/>
      <c r="B557" s="71"/>
      <c r="C557" s="20"/>
      <c r="D557" s="20"/>
      <c r="E557" s="20"/>
      <c r="F557" s="20"/>
      <c r="G557" s="20"/>
      <c r="H557" s="66"/>
      <c r="I557" s="66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142"/>
      <c r="W557" s="141"/>
      <c r="X557" s="74"/>
      <c r="Y557" s="75"/>
      <c r="Z557" s="75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</row>
    <row r="558" spans="1:45" ht="15.75" customHeight="1">
      <c r="A558" s="20"/>
      <c r="B558" s="71"/>
      <c r="C558" s="20"/>
      <c r="D558" s="20"/>
      <c r="E558" s="20"/>
      <c r="F558" s="20"/>
      <c r="G558" s="20"/>
      <c r="H558" s="66"/>
      <c r="I558" s="66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142"/>
      <c r="W558" s="141"/>
      <c r="X558" s="74"/>
      <c r="Y558" s="75"/>
      <c r="Z558" s="75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</row>
    <row r="559" spans="1:45" ht="15.75" customHeight="1">
      <c r="A559" s="20"/>
      <c r="B559" s="71"/>
      <c r="C559" s="20"/>
      <c r="D559" s="20"/>
      <c r="E559" s="20"/>
      <c r="F559" s="20"/>
      <c r="G559" s="20"/>
      <c r="H559" s="66"/>
      <c r="I559" s="66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142"/>
      <c r="W559" s="141"/>
      <c r="X559" s="74"/>
      <c r="Y559" s="75"/>
      <c r="Z559" s="75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</row>
    <row r="560" spans="1:45" ht="15.75" customHeight="1">
      <c r="A560" s="20"/>
      <c r="B560" s="71"/>
      <c r="C560" s="20"/>
      <c r="D560" s="20"/>
      <c r="E560" s="20"/>
      <c r="F560" s="20"/>
      <c r="G560" s="20"/>
      <c r="H560" s="66"/>
      <c r="I560" s="66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142"/>
      <c r="W560" s="141"/>
      <c r="X560" s="74"/>
      <c r="Y560" s="75"/>
      <c r="Z560" s="75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</row>
    <row r="561" spans="1:45" ht="15.75" customHeight="1">
      <c r="A561" s="20"/>
      <c r="B561" s="71"/>
      <c r="C561" s="20"/>
      <c r="D561" s="20"/>
      <c r="E561" s="20"/>
      <c r="F561" s="20"/>
      <c r="G561" s="20"/>
      <c r="H561" s="66"/>
      <c r="I561" s="66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142"/>
      <c r="W561" s="141"/>
      <c r="X561" s="74"/>
      <c r="Y561" s="75"/>
      <c r="Z561" s="75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</row>
    <row r="562" spans="1:45" ht="15.75" customHeight="1">
      <c r="A562" s="20"/>
      <c r="B562" s="71"/>
      <c r="C562" s="20"/>
      <c r="D562" s="20"/>
      <c r="E562" s="20"/>
      <c r="F562" s="20"/>
      <c r="G562" s="20"/>
      <c r="H562" s="66"/>
      <c r="I562" s="66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142"/>
      <c r="W562" s="141"/>
      <c r="X562" s="74"/>
      <c r="Y562" s="75"/>
      <c r="Z562" s="75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</row>
    <row r="563" spans="1:45" ht="15.75" customHeight="1">
      <c r="A563" s="20"/>
      <c r="B563" s="71"/>
      <c r="C563" s="20"/>
      <c r="D563" s="20"/>
      <c r="E563" s="20"/>
      <c r="F563" s="20"/>
      <c r="G563" s="20"/>
      <c r="H563" s="66"/>
      <c r="I563" s="66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142"/>
      <c r="W563" s="141"/>
      <c r="X563" s="74"/>
      <c r="Y563" s="75"/>
      <c r="Z563" s="75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</row>
    <row r="564" spans="1:45" ht="15.75" customHeight="1">
      <c r="A564" s="20"/>
      <c r="B564" s="71"/>
      <c r="C564" s="20"/>
      <c r="D564" s="20"/>
      <c r="E564" s="20"/>
      <c r="F564" s="20"/>
      <c r="G564" s="20"/>
      <c r="H564" s="66"/>
      <c r="I564" s="66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142"/>
      <c r="W564" s="141"/>
      <c r="X564" s="74"/>
      <c r="Y564" s="75"/>
      <c r="Z564" s="75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</row>
    <row r="565" spans="1:45" ht="15.75" customHeight="1">
      <c r="A565" s="20"/>
      <c r="B565" s="71"/>
      <c r="C565" s="20"/>
      <c r="D565" s="20"/>
      <c r="E565" s="20"/>
      <c r="F565" s="20"/>
      <c r="G565" s="20"/>
      <c r="H565" s="66"/>
      <c r="I565" s="66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142"/>
      <c r="W565" s="141"/>
      <c r="X565" s="74"/>
      <c r="Y565" s="75"/>
      <c r="Z565" s="75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</row>
    <row r="566" spans="1:45" ht="15.75" customHeight="1">
      <c r="A566" s="20"/>
      <c r="B566" s="71"/>
      <c r="C566" s="20"/>
      <c r="D566" s="20"/>
      <c r="E566" s="20"/>
      <c r="F566" s="20"/>
      <c r="G566" s="20"/>
      <c r="H566" s="66"/>
      <c r="I566" s="66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142"/>
      <c r="W566" s="141"/>
      <c r="X566" s="74"/>
      <c r="Y566" s="75"/>
      <c r="Z566" s="75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</row>
    <row r="567" spans="1:45" ht="15.75" customHeight="1">
      <c r="A567" s="20"/>
      <c r="B567" s="71"/>
      <c r="C567" s="20"/>
      <c r="D567" s="20"/>
      <c r="E567" s="20"/>
      <c r="F567" s="20"/>
      <c r="G567" s="20"/>
      <c r="H567" s="66"/>
      <c r="I567" s="66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142"/>
      <c r="W567" s="141"/>
      <c r="X567" s="74"/>
      <c r="Y567" s="75"/>
      <c r="Z567" s="75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</row>
    <row r="568" spans="1:45" ht="15.75" customHeight="1">
      <c r="A568" s="20"/>
      <c r="B568" s="71"/>
      <c r="C568" s="20"/>
      <c r="D568" s="20"/>
      <c r="E568" s="20"/>
      <c r="F568" s="20"/>
      <c r="G568" s="20"/>
      <c r="H568" s="66"/>
      <c r="I568" s="66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142"/>
      <c r="W568" s="141"/>
      <c r="X568" s="74"/>
      <c r="Y568" s="75"/>
      <c r="Z568" s="75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</row>
    <row r="569" spans="1:45" ht="15.75" customHeight="1">
      <c r="A569" s="20"/>
      <c r="B569" s="71"/>
      <c r="C569" s="20"/>
      <c r="D569" s="20"/>
      <c r="E569" s="20"/>
      <c r="F569" s="20"/>
      <c r="G569" s="20"/>
      <c r="H569" s="66"/>
      <c r="I569" s="66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142"/>
      <c r="W569" s="141"/>
      <c r="X569" s="74"/>
      <c r="Y569" s="75"/>
      <c r="Z569" s="75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</row>
    <row r="570" spans="1:45" ht="15.75" customHeight="1">
      <c r="A570" s="20"/>
      <c r="B570" s="71"/>
      <c r="C570" s="20"/>
      <c r="D570" s="20"/>
      <c r="E570" s="20"/>
      <c r="F570" s="20"/>
      <c r="G570" s="20"/>
      <c r="H570" s="66"/>
      <c r="I570" s="66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142"/>
      <c r="W570" s="141"/>
      <c r="X570" s="74"/>
      <c r="Y570" s="75"/>
      <c r="Z570" s="75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</row>
    <row r="571" spans="1:45" ht="15.75" customHeight="1">
      <c r="A571" s="20"/>
      <c r="B571" s="71"/>
      <c r="C571" s="20"/>
      <c r="D571" s="20"/>
      <c r="E571" s="20"/>
      <c r="F571" s="20"/>
      <c r="G571" s="20"/>
      <c r="H571" s="66"/>
      <c r="I571" s="66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142"/>
      <c r="W571" s="141"/>
      <c r="X571" s="74"/>
      <c r="Y571" s="75"/>
      <c r="Z571" s="75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</row>
    <row r="572" spans="1:45" ht="15.75" customHeight="1">
      <c r="A572" s="20"/>
      <c r="B572" s="71"/>
      <c r="C572" s="20"/>
      <c r="D572" s="20"/>
      <c r="E572" s="20"/>
      <c r="F572" s="20"/>
      <c r="G572" s="20"/>
      <c r="H572" s="66"/>
      <c r="I572" s="66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142"/>
      <c r="W572" s="141"/>
      <c r="X572" s="74"/>
      <c r="Y572" s="75"/>
      <c r="Z572" s="75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</row>
    <row r="573" spans="1:45" ht="15.75" customHeight="1">
      <c r="A573" s="20"/>
      <c r="B573" s="71"/>
      <c r="C573" s="20"/>
      <c r="D573" s="20"/>
      <c r="E573" s="20"/>
      <c r="F573" s="20"/>
      <c r="G573" s="20"/>
      <c r="H573" s="66"/>
      <c r="I573" s="66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142"/>
      <c r="W573" s="141"/>
      <c r="X573" s="74"/>
      <c r="Y573" s="75"/>
      <c r="Z573" s="75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</row>
    <row r="574" spans="1:45" ht="15.75" customHeight="1">
      <c r="A574" s="20"/>
      <c r="B574" s="71"/>
      <c r="C574" s="20"/>
      <c r="D574" s="20"/>
      <c r="E574" s="20"/>
      <c r="F574" s="20"/>
      <c r="G574" s="20"/>
      <c r="H574" s="66"/>
      <c r="I574" s="66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142"/>
      <c r="W574" s="141"/>
      <c r="X574" s="74"/>
      <c r="Y574" s="75"/>
      <c r="Z574" s="75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</row>
    <row r="575" spans="1:45" ht="15.75" customHeight="1">
      <c r="A575" s="20"/>
      <c r="B575" s="71"/>
      <c r="C575" s="20"/>
      <c r="D575" s="20"/>
      <c r="E575" s="20"/>
      <c r="F575" s="20"/>
      <c r="G575" s="20"/>
      <c r="H575" s="66"/>
      <c r="I575" s="66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142"/>
      <c r="W575" s="141"/>
      <c r="X575" s="74"/>
      <c r="Y575" s="75"/>
      <c r="Z575" s="75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</row>
    <row r="576" spans="1:45" ht="15.75" customHeight="1">
      <c r="A576" s="20"/>
      <c r="B576" s="71"/>
      <c r="C576" s="20"/>
      <c r="D576" s="20"/>
      <c r="E576" s="20"/>
      <c r="F576" s="20"/>
      <c r="G576" s="20"/>
      <c r="H576" s="66"/>
      <c r="I576" s="66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142"/>
      <c r="W576" s="141"/>
      <c r="X576" s="74"/>
      <c r="Y576" s="75"/>
      <c r="Z576" s="75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</row>
    <row r="577" spans="1:45" ht="15.75" customHeight="1">
      <c r="A577" s="20"/>
      <c r="B577" s="71"/>
      <c r="C577" s="20"/>
      <c r="D577" s="20"/>
      <c r="E577" s="20"/>
      <c r="F577" s="20"/>
      <c r="G577" s="20"/>
      <c r="H577" s="66"/>
      <c r="I577" s="66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142"/>
      <c r="W577" s="141"/>
      <c r="X577" s="74"/>
      <c r="Y577" s="75"/>
      <c r="Z577" s="75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</row>
    <row r="578" spans="1:45" ht="15.75" customHeight="1">
      <c r="A578" s="20"/>
      <c r="B578" s="71"/>
      <c r="C578" s="20"/>
      <c r="D578" s="20"/>
      <c r="E578" s="20"/>
      <c r="F578" s="20"/>
      <c r="G578" s="20"/>
      <c r="H578" s="66"/>
      <c r="I578" s="66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142"/>
      <c r="W578" s="141"/>
      <c r="X578" s="74"/>
      <c r="Y578" s="75"/>
      <c r="Z578" s="75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</row>
    <row r="579" spans="1:45" ht="15.75" customHeight="1">
      <c r="A579" s="20"/>
      <c r="B579" s="71"/>
      <c r="C579" s="20"/>
      <c r="D579" s="20"/>
      <c r="E579" s="20"/>
      <c r="F579" s="20"/>
      <c r="G579" s="20"/>
      <c r="H579" s="66"/>
      <c r="I579" s="66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142"/>
      <c r="W579" s="141"/>
      <c r="X579" s="74"/>
      <c r="Y579" s="75"/>
      <c r="Z579" s="75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</row>
    <row r="580" spans="1:45" ht="15.75" customHeight="1">
      <c r="A580" s="20"/>
      <c r="B580" s="71"/>
      <c r="C580" s="20"/>
      <c r="D580" s="20"/>
      <c r="E580" s="20"/>
      <c r="F580" s="20"/>
      <c r="G580" s="20"/>
      <c r="H580" s="66"/>
      <c r="I580" s="66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142"/>
      <c r="W580" s="141"/>
      <c r="X580" s="74"/>
      <c r="Y580" s="75"/>
      <c r="Z580" s="75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</row>
    <row r="581" spans="1:45" ht="15.75" customHeight="1">
      <c r="A581" s="20"/>
      <c r="B581" s="71"/>
      <c r="C581" s="20"/>
      <c r="D581" s="20"/>
      <c r="E581" s="20"/>
      <c r="F581" s="20"/>
      <c r="G581" s="20"/>
      <c r="H581" s="66"/>
      <c r="I581" s="66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142"/>
      <c r="W581" s="141"/>
      <c r="X581" s="74"/>
      <c r="Y581" s="75"/>
      <c r="Z581" s="75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</row>
    <row r="582" spans="1:45" ht="15.75" customHeight="1">
      <c r="A582" s="20"/>
      <c r="B582" s="71"/>
      <c r="C582" s="20"/>
      <c r="D582" s="20"/>
      <c r="E582" s="20"/>
      <c r="F582" s="20"/>
      <c r="G582" s="20"/>
      <c r="H582" s="66"/>
      <c r="I582" s="66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142"/>
      <c r="W582" s="141"/>
      <c r="X582" s="74"/>
      <c r="Y582" s="75"/>
      <c r="Z582" s="75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</row>
    <row r="583" spans="1:45" ht="15.75" customHeight="1">
      <c r="A583" s="20"/>
      <c r="B583" s="71"/>
      <c r="C583" s="20"/>
      <c r="D583" s="20"/>
      <c r="E583" s="20"/>
      <c r="F583" s="20"/>
      <c r="G583" s="20"/>
      <c r="H583" s="66"/>
      <c r="I583" s="66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142"/>
      <c r="W583" s="141"/>
      <c r="X583" s="74"/>
      <c r="Y583" s="75"/>
      <c r="Z583" s="75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</row>
    <row r="584" spans="1:45" ht="15.75" customHeight="1">
      <c r="A584" s="20"/>
      <c r="B584" s="71"/>
      <c r="C584" s="20"/>
      <c r="D584" s="20"/>
      <c r="E584" s="20"/>
      <c r="F584" s="20"/>
      <c r="G584" s="20"/>
      <c r="H584" s="66"/>
      <c r="I584" s="66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142"/>
      <c r="W584" s="141"/>
      <c r="X584" s="74"/>
      <c r="Y584" s="75"/>
      <c r="Z584" s="75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</row>
    <row r="585" spans="1:45" ht="15.75" customHeight="1">
      <c r="A585" s="20"/>
      <c r="B585" s="71"/>
      <c r="C585" s="20"/>
      <c r="D585" s="20"/>
      <c r="E585" s="20"/>
      <c r="F585" s="20"/>
      <c r="G585" s="20"/>
      <c r="H585" s="66"/>
      <c r="I585" s="66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142"/>
      <c r="W585" s="141"/>
      <c r="X585" s="74"/>
      <c r="Y585" s="75"/>
      <c r="Z585" s="75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</row>
    <row r="586" spans="1:45" ht="15.75" customHeight="1">
      <c r="A586" s="20"/>
      <c r="B586" s="71"/>
      <c r="C586" s="20"/>
      <c r="D586" s="20"/>
      <c r="E586" s="20"/>
      <c r="F586" s="20"/>
      <c r="G586" s="20"/>
      <c r="H586" s="66"/>
      <c r="I586" s="66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142"/>
      <c r="W586" s="141"/>
      <c r="X586" s="74"/>
      <c r="Y586" s="75"/>
      <c r="Z586" s="75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</row>
    <row r="587" spans="1:45" ht="15.75" customHeight="1">
      <c r="A587" s="20"/>
      <c r="B587" s="71"/>
      <c r="C587" s="20"/>
      <c r="D587" s="20"/>
      <c r="E587" s="20"/>
      <c r="F587" s="20"/>
      <c r="G587" s="20"/>
      <c r="H587" s="66"/>
      <c r="I587" s="66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142"/>
      <c r="W587" s="141"/>
      <c r="X587" s="74"/>
      <c r="Y587" s="75"/>
      <c r="Z587" s="75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</row>
    <row r="588" spans="1:45" ht="15.75" customHeight="1">
      <c r="A588" s="20"/>
      <c r="B588" s="71"/>
      <c r="C588" s="20"/>
      <c r="D588" s="20"/>
      <c r="E588" s="20"/>
      <c r="F588" s="20"/>
      <c r="G588" s="20"/>
      <c r="H588" s="66"/>
      <c r="I588" s="66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142"/>
      <c r="W588" s="141"/>
      <c r="X588" s="74"/>
      <c r="Y588" s="75"/>
      <c r="Z588" s="75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</row>
    <row r="589" spans="1:45" ht="15.75" customHeight="1">
      <c r="A589" s="20"/>
      <c r="B589" s="71"/>
      <c r="C589" s="20"/>
      <c r="D589" s="20"/>
      <c r="E589" s="20"/>
      <c r="F589" s="20"/>
      <c r="G589" s="20"/>
      <c r="H589" s="66"/>
      <c r="I589" s="66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142"/>
      <c r="W589" s="141"/>
      <c r="X589" s="74"/>
      <c r="Y589" s="75"/>
      <c r="Z589" s="75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</row>
    <row r="590" spans="1:45" ht="15.75" customHeight="1">
      <c r="A590" s="20"/>
      <c r="B590" s="71"/>
      <c r="C590" s="20"/>
      <c r="D590" s="20"/>
      <c r="E590" s="20"/>
      <c r="F590" s="20"/>
      <c r="G590" s="20"/>
      <c r="H590" s="66"/>
      <c r="I590" s="66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142"/>
      <c r="W590" s="141"/>
      <c r="X590" s="74"/>
      <c r="Y590" s="75"/>
      <c r="Z590" s="75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</row>
    <row r="591" spans="1:45" ht="15.75" customHeight="1">
      <c r="A591" s="20"/>
      <c r="B591" s="71"/>
      <c r="C591" s="20"/>
      <c r="D591" s="20"/>
      <c r="E591" s="20"/>
      <c r="F591" s="20"/>
      <c r="G591" s="20"/>
      <c r="H591" s="66"/>
      <c r="I591" s="66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142"/>
      <c r="W591" s="141"/>
      <c r="X591" s="74"/>
      <c r="Y591" s="75"/>
      <c r="Z591" s="75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</row>
    <row r="592" spans="1:45" ht="15.75" customHeight="1">
      <c r="A592" s="20"/>
      <c r="B592" s="71"/>
      <c r="C592" s="20"/>
      <c r="D592" s="20"/>
      <c r="E592" s="20"/>
      <c r="F592" s="20"/>
      <c r="G592" s="20"/>
      <c r="H592" s="66"/>
      <c r="I592" s="66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142"/>
      <c r="W592" s="141"/>
      <c r="X592" s="74"/>
      <c r="Y592" s="75"/>
      <c r="Z592" s="75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</row>
    <row r="593" spans="1:45" ht="15.75" customHeight="1">
      <c r="A593" s="20"/>
      <c r="B593" s="71"/>
      <c r="C593" s="20"/>
      <c r="D593" s="20"/>
      <c r="E593" s="20"/>
      <c r="F593" s="20"/>
      <c r="G593" s="20"/>
      <c r="H593" s="66"/>
      <c r="I593" s="66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142"/>
      <c r="W593" s="141"/>
      <c r="X593" s="74"/>
      <c r="Y593" s="75"/>
      <c r="Z593" s="75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</row>
    <row r="594" spans="1:45" ht="15.75" customHeight="1">
      <c r="A594" s="20"/>
      <c r="B594" s="71"/>
      <c r="C594" s="20"/>
      <c r="D594" s="20"/>
      <c r="E594" s="20"/>
      <c r="F594" s="20"/>
      <c r="G594" s="20"/>
      <c r="H594" s="66"/>
      <c r="I594" s="66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142"/>
      <c r="W594" s="141"/>
      <c r="X594" s="74"/>
      <c r="Y594" s="75"/>
      <c r="Z594" s="75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</row>
    <row r="595" spans="1:45" ht="15.75" customHeight="1">
      <c r="A595" s="20"/>
      <c r="B595" s="71"/>
      <c r="C595" s="20"/>
      <c r="D595" s="20"/>
      <c r="E595" s="20"/>
      <c r="F595" s="20"/>
      <c r="G595" s="20"/>
      <c r="H595" s="66"/>
      <c r="I595" s="66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142"/>
      <c r="W595" s="141"/>
      <c r="X595" s="74"/>
      <c r="Y595" s="75"/>
      <c r="Z595" s="75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</row>
    <row r="596" spans="1:45" ht="15.75" customHeight="1">
      <c r="A596" s="20"/>
      <c r="B596" s="71"/>
      <c r="C596" s="20"/>
      <c r="D596" s="20"/>
      <c r="E596" s="20"/>
      <c r="F596" s="20"/>
      <c r="G596" s="20"/>
      <c r="H596" s="66"/>
      <c r="I596" s="66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142"/>
      <c r="W596" s="141"/>
      <c r="X596" s="74"/>
      <c r="Y596" s="75"/>
      <c r="Z596" s="75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</row>
    <row r="597" spans="1:45" ht="15.75" customHeight="1">
      <c r="A597" s="20"/>
      <c r="B597" s="71"/>
      <c r="C597" s="20"/>
      <c r="D597" s="20"/>
      <c r="E597" s="20"/>
      <c r="F597" s="20"/>
      <c r="G597" s="20"/>
      <c r="H597" s="66"/>
      <c r="I597" s="66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142"/>
      <c r="W597" s="141"/>
      <c r="X597" s="74"/>
      <c r="Y597" s="75"/>
      <c r="Z597" s="75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</row>
    <row r="598" spans="1:45" ht="15.75" customHeight="1">
      <c r="A598" s="20"/>
      <c r="B598" s="71"/>
      <c r="C598" s="20"/>
      <c r="D598" s="20"/>
      <c r="E598" s="20"/>
      <c r="F598" s="20"/>
      <c r="G598" s="20"/>
      <c r="H598" s="66"/>
      <c r="I598" s="66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142"/>
      <c r="W598" s="141"/>
      <c r="X598" s="74"/>
      <c r="Y598" s="75"/>
      <c r="Z598" s="75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</row>
    <row r="599" spans="1:45" ht="15.75" customHeight="1">
      <c r="A599" s="20"/>
      <c r="B599" s="71"/>
      <c r="C599" s="20"/>
      <c r="D599" s="20"/>
      <c r="E599" s="20"/>
      <c r="F599" s="20"/>
      <c r="G599" s="20"/>
      <c r="H599" s="66"/>
      <c r="I599" s="66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142"/>
      <c r="W599" s="141"/>
      <c r="X599" s="74"/>
      <c r="Y599" s="75"/>
      <c r="Z599" s="75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</row>
    <row r="600" spans="1:45" ht="15.75" customHeight="1">
      <c r="A600" s="20"/>
      <c r="B600" s="71"/>
      <c r="C600" s="20"/>
      <c r="D600" s="20"/>
      <c r="E600" s="20"/>
      <c r="F600" s="20"/>
      <c r="G600" s="20"/>
      <c r="H600" s="66"/>
      <c r="I600" s="66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142"/>
      <c r="W600" s="141"/>
      <c r="X600" s="74"/>
      <c r="Y600" s="75"/>
      <c r="Z600" s="75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</row>
    <row r="601" spans="1:45" ht="15.75" customHeight="1">
      <c r="A601" s="20"/>
      <c r="B601" s="71"/>
      <c r="C601" s="20"/>
      <c r="D601" s="20"/>
      <c r="E601" s="20"/>
      <c r="F601" s="20"/>
      <c r="G601" s="20"/>
      <c r="H601" s="66"/>
      <c r="I601" s="66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142"/>
      <c r="W601" s="141"/>
      <c r="X601" s="74"/>
      <c r="Y601" s="75"/>
      <c r="Z601" s="75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</row>
    <row r="602" spans="1:45" ht="15.75" customHeight="1">
      <c r="A602" s="20"/>
      <c r="B602" s="71"/>
      <c r="C602" s="20"/>
      <c r="D602" s="20"/>
      <c r="E602" s="20"/>
      <c r="F602" s="20"/>
      <c r="G602" s="20"/>
      <c r="H602" s="66"/>
      <c r="I602" s="66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142"/>
      <c r="W602" s="141"/>
      <c r="X602" s="74"/>
      <c r="Y602" s="75"/>
      <c r="Z602" s="75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</row>
    <row r="603" spans="1:45" ht="15.75" customHeight="1">
      <c r="A603" s="20"/>
      <c r="B603" s="71"/>
      <c r="C603" s="20"/>
      <c r="D603" s="20"/>
      <c r="E603" s="20"/>
      <c r="F603" s="20"/>
      <c r="G603" s="20"/>
      <c r="H603" s="66"/>
      <c r="I603" s="66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142"/>
      <c r="W603" s="141"/>
      <c r="X603" s="74"/>
      <c r="Y603" s="75"/>
      <c r="Z603" s="75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</row>
    <row r="604" spans="1:45" ht="15.75" customHeight="1">
      <c r="A604" s="20"/>
      <c r="B604" s="71"/>
      <c r="C604" s="20"/>
      <c r="D604" s="20"/>
      <c r="E604" s="20"/>
      <c r="F604" s="20"/>
      <c r="G604" s="20"/>
      <c r="H604" s="66"/>
      <c r="I604" s="66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142"/>
      <c r="W604" s="141"/>
      <c r="X604" s="74"/>
      <c r="Y604" s="75"/>
      <c r="Z604" s="75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</row>
    <row r="605" spans="1:45" ht="15.75" customHeight="1">
      <c r="A605" s="20"/>
      <c r="B605" s="71"/>
      <c r="C605" s="20"/>
      <c r="D605" s="20"/>
      <c r="E605" s="20"/>
      <c r="F605" s="20"/>
      <c r="G605" s="20"/>
      <c r="H605" s="66"/>
      <c r="I605" s="66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142"/>
      <c r="W605" s="141"/>
      <c r="X605" s="74"/>
      <c r="Y605" s="75"/>
      <c r="Z605" s="75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</row>
    <row r="606" spans="1:45" ht="15.75" customHeight="1">
      <c r="A606" s="20"/>
      <c r="B606" s="71"/>
      <c r="C606" s="20"/>
      <c r="D606" s="20"/>
      <c r="E606" s="20"/>
      <c r="F606" s="20"/>
      <c r="G606" s="20"/>
      <c r="H606" s="66"/>
      <c r="I606" s="66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142"/>
      <c r="W606" s="141"/>
      <c r="X606" s="74"/>
      <c r="Y606" s="75"/>
      <c r="Z606" s="75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</row>
    <row r="607" spans="1:45" ht="15.75" customHeight="1">
      <c r="A607" s="20"/>
      <c r="B607" s="71"/>
      <c r="C607" s="20"/>
      <c r="D607" s="20"/>
      <c r="E607" s="20"/>
      <c r="F607" s="20"/>
      <c r="G607" s="20"/>
      <c r="H607" s="66"/>
      <c r="I607" s="66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142"/>
      <c r="W607" s="141"/>
      <c r="X607" s="74"/>
      <c r="Y607" s="75"/>
      <c r="Z607" s="75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</row>
    <row r="608" spans="1:45" ht="15.75" customHeight="1">
      <c r="A608" s="20"/>
      <c r="B608" s="71"/>
      <c r="C608" s="20"/>
      <c r="D608" s="20"/>
      <c r="E608" s="20"/>
      <c r="F608" s="20"/>
      <c r="G608" s="20"/>
      <c r="H608" s="66"/>
      <c r="I608" s="66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142"/>
      <c r="W608" s="141"/>
      <c r="X608" s="74"/>
      <c r="Y608" s="75"/>
      <c r="Z608" s="75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</row>
    <row r="609" spans="1:45" ht="15.75" customHeight="1">
      <c r="A609" s="20"/>
      <c r="B609" s="71"/>
      <c r="C609" s="20"/>
      <c r="D609" s="20"/>
      <c r="E609" s="20"/>
      <c r="F609" s="20"/>
      <c r="G609" s="20"/>
      <c r="H609" s="66"/>
      <c r="I609" s="66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142"/>
      <c r="W609" s="141"/>
      <c r="X609" s="74"/>
      <c r="Y609" s="75"/>
      <c r="Z609" s="75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</row>
    <row r="610" spans="1:45" ht="15.75" customHeight="1">
      <c r="A610" s="20"/>
      <c r="B610" s="71"/>
      <c r="C610" s="20"/>
      <c r="D610" s="20"/>
      <c r="E610" s="20"/>
      <c r="F610" s="20"/>
      <c r="G610" s="20"/>
      <c r="H610" s="66"/>
      <c r="I610" s="66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142"/>
      <c r="W610" s="141"/>
      <c r="X610" s="74"/>
      <c r="Y610" s="75"/>
      <c r="Z610" s="75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</row>
    <row r="611" spans="1:45" ht="15.75" customHeight="1">
      <c r="A611" s="20"/>
      <c r="B611" s="71"/>
      <c r="C611" s="20"/>
      <c r="D611" s="20"/>
      <c r="E611" s="20"/>
      <c r="F611" s="20"/>
      <c r="G611" s="20"/>
      <c r="H611" s="66"/>
      <c r="I611" s="66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142"/>
      <c r="W611" s="141"/>
      <c r="X611" s="74"/>
      <c r="Y611" s="75"/>
      <c r="Z611" s="75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</row>
    <row r="612" spans="1:45" ht="15.75" customHeight="1">
      <c r="A612" s="20"/>
      <c r="B612" s="71"/>
      <c r="C612" s="20"/>
      <c r="D612" s="20"/>
      <c r="E612" s="20"/>
      <c r="F612" s="20"/>
      <c r="G612" s="20"/>
      <c r="H612" s="66"/>
      <c r="I612" s="66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142"/>
      <c r="W612" s="141"/>
      <c r="X612" s="74"/>
      <c r="Y612" s="75"/>
      <c r="Z612" s="75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</row>
    <row r="613" spans="1:45" ht="15.75" customHeight="1">
      <c r="A613" s="20"/>
      <c r="B613" s="71"/>
      <c r="C613" s="20"/>
      <c r="D613" s="20"/>
      <c r="E613" s="20"/>
      <c r="F613" s="20"/>
      <c r="G613" s="20"/>
      <c r="H613" s="66"/>
      <c r="I613" s="66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142"/>
      <c r="W613" s="141"/>
      <c r="X613" s="74"/>
      <c r="Y613" s="75"/>
      <c r="Z613" s="75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</row>
    <row r="614" spans="1:45" ht="15.75" customHeight="1">
      <c r="A614" s="20"/>
      <c r="B614" s="71"/>
      <c r="C614" s="20"/>
      <c r="D614" s="20"/>
      <c r="E614" s="20"/>
      <c r="F614" s="20"/>
      <c r="G614" s="20"/>
      <c r="H614" s="66"/>
      <c r="I614" s="66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142"/>
      <c r="W614" s="141"/>
      <c r="X614" s="74"/>
      <c r="Y614" s="75"/>
      <c r="Z614" s="75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</row>
    <row r="615" spans="1:45" ht="15.75" customHeight="1">
      <c r="A615" s="20"/>
      <c r="B615" s="71"/>
      <c r="C615" s="20"/>
      <c r="D615" s="20"/>
      <c r="E615" s="20"/>
      <c r="F615" s="20"/>
      <c r="G615" s="20"/>
      <c r="H615" s="66"/>
      <c r="I615" s="66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142"/>
      <c r="W615" s="141"/>
      <c r="X615" s="74"/>
      <c r="Y615" s="75"/>
      <c r="Z615" s="75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</row>
    <row r="616" spans="1:45" ht="15.75" customHeight="1">
      <c r="A616" s="20"/>
      <c r="B616" s="71"/>
      <c r="C616" s="20"/>
      <c r="D616" s="20"/>
      <c r="E616" s="20"/>
      <c r="F616" s="20"/>
      <c r="G616" s="20"/>
      <c r="H616" s="66"/>
      <c r="I616" s="66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142"/>
      <c r="W616" s="141"/>
      <c r="X616" s="74"/>
      <c r="Y616" s="75"/>
      <c r="Z616" s="75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</row>
    <row r="617" spans="1:45" ht="15.75" customHeight="1">
      <c r="A617" s="20"/>
      <c r="B617" s="71"/>
      <c r="C617" s="20"/>
      <c r="D617" s="20"/>
      <c r="E617" s="20"/>
      <c r="F617" s="20"/>
      <c r="G617" s="20"/>
      <c r="H617" s="66"/>
      <c r="I617" s="66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142"/>
      <c r="W617" s="141"/>
      <c r="X617" s="74"/>
      <c r="Y617" s="75"/>
      <c r="Z617" s="75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</row>
    <row r="618" spans="1:45" ht="15.75" customHeight="1">
      <c r="A618" s="20"/>
      <c r="B618" s="71"/>
      <c r="C618" s="20"/>
      <c r="D618" s="20"/>
      <c r="E618" s="20"/>
      <c r="F618" s="20"/>
      <c r="G618" s="20"/>
      <c r="H618" s="66"/>
      <c r="I618" s="66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142"/>
      <c r="W618" s="141"/>
      <c r="X618" s="74"/>
      <c r="Y618" s="75"/>
      <c r="Z618" s="75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</row>
    <row r="619" spans="1:45" ht="15.75" customHeight="1">
      <c r="A619" s="20"/>
      <c r="B619" s="71"/>
      <c r="C619" s="20"/>
      <c r="D619" s="20"/>
      <c r="E619" s="20"/>
      <c r="F619" s="20"/>
      <c r="G619" s="20"/>
      <c r="H619" s="66"/>
      <c r="I619" s="66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142"/>
      <c r="W619" s="141"/>
      <c r="X619" s="74"/>
      <c r="Y619" s="75"/>
      <c r="Z619" s="75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</row>
    <row r="620" spans="1:45" ht="15.75" customHeight="1">
      <c r="A620" s="20"/>
      <c r="B620" s="71"/>
      <c r="C620" s="20"/>
      <c r="D620" s="20"/>
      <c r="E620" s="20"/>
      <c r="F620" s="20"/>
      <c r="G620" s="20"/>
      <c r="H620" s="66"/>
      <c r="I620" s="66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142"/>
      <c r="W620" s="141"/>
      <c r="X620" s="74"/>
      <c r="Y620" s="75"/>
      <c r="Z620" s="75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</row>
    <row r="621" spans="1:45" ht="15.75" customHeight="1">
      <c r="A621" s="20"/>
      <c r="B621" s="71"/>
      <c r="C621" s="20"/>
      <c r="D621" s="20"/>
      <c r="E621" s="20"/>
      <c r="F621" s="20"/>
      <c r="G621" s="20"/>
      <c r="H621" s="66"/>
      <c r="I621" s="66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142"/>
      <c r="W621" s="141"/>
      <c r="X621" s="74"/>
      <c r="Y621" s="75"/>
      <c r="Z621" s="75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</row>
    <row r="622" spans="1:45" ht="15.75" customHeight="1">
      <c r="A622" s="20"/>
      <c r="B622" s="71"/>
      <c r="C622" s="20"/>
      <c r="D622" s="20"/>
      <c r="E622" s="20"/>
      <c r="F622" s="20"/>
      <c r="G622" s="20"/>
      <c r="H622" s="66"/>
      <c r="I622" s="66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142"/>
      <c r="W622" s="141"/>
      <c r="X622" s="74"/>
      <c r="Y622" s="75"/>
      <c r="Z622" s="75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</row>
    <row r="623" spans="1:45" ht="15.75" customHeight="1">
      <c r="A623" s="20"/>
      <c r="B623" s="71"/>
      <c r="C623" s="20"/>
      <c r="D623" s="20"/>
      <c r="E623" s="20"/>
      <c r="F623" s="20"/>
      <c r="G623" s="20"/>
      <c r="H623" s="66"/>
      <c r="I623" s="66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142"/>
      <c r="W623" s="141"/>
      <c r="X623" s="74"/>
      <c r="Y623" s="75"/>
      <c r="Z623" s="75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</row>
    <row r="624" spans="1:45" ht="15.75" customHeight="1">
      <c r="A624" s="20"/>
      <c r="B624" s="71"/>
      <c r="C624" s="20"/>
      <c r="D624" s="20"/>
      <c r="E624" s="20"/>
      <c r="F624" s="20"/>
      <c r="G624" s="20"/>
      <c r="H624" s="66"/>
      <c r="I624" s="66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142"/>
      <c r="W624" s="141"/>
      <c r="X624" s="74"/>
      <c r="Y624" s="75"/>
      <c r="Z624" s="75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</row>
    <row r="625" spans="1:45" ht="15.75" customHeight="1">
      <c r="A625" s="20"/>
      <c r="B625" s="71"/>
      <c r="C625" s="20"/>
      <c r="D625" s="20"/>
      <c r="E625" s="20"/>
      <c r="F625" s="20"/>
      <c r="G625" s="20"/>
      <c r="H625" s="66"/>
      <c r="I625" s="66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142"/>
      <c r="W625" s="141"/>
      <c r="X625" s="74"/>
      <c r="Y625" s="75"/>
      <c r="Z625" s="75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</row>
    <row r="626" spans="1:45" ht="15.75" customHeight="1">
      <c r="A626" s="20"/>
      <c r="B626" s="71"/>
      <c r="C626" s="20"/>
      <c r="D626" s="20"/>
      <c r="E626" s="20"/>
      <c r="F626" s="20"/>
      <c r="G626" s="20"/>
      <c r="H626" s="66"/>
      <c r="I626" s="66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142"/>
      <c r="W626" s="141"/>
      <c r="X626" s="74"/>
      <c r="Y626" s="75"/>
      <c r="Z626" s="75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</row>
    <row r="627" spans="1:45" ht="15.75" customHeight="1">
      <c r="A627" s="20"/>
      <c r="B627" s="71"/>
      <c r="C627" s="20"/>
      <c r="D627" s="20"/>
      <c r="E627" s="20"/>
      <c r="F627" s="20"/>
      <c r="G627" s="20"/>
      <c r="H627" s="66"/>
      <c r="I627" s="66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142"/>
      <c r="W627" s="141"/>
      <c r="X627" s="74"/>
      <c r="Y627" s="75"/>
      <c r="Z627" s="75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</row>
    <row r="628" spans="1:45" ht="15.75" customHeight="1">
      <c r="A628" s="20"/>
      <c r="B628" s="71"/>
      <c r="C628" s="20"/>
      <c r="D628" s="20"/>
      <c r="E628" s="20"/>
      <c r="F628" s="20"/>
      <c r="G628" s="20"/>
      <c r="H628" s="66"/>
      <c r="I628" s="66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142"/>
      <c r="W628" s="141"/>
      <c r="X628" s="74"/>
      <c r="Y628" s="75"/>
      <c r="Z628" s="75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</row>
    <row r="629" spans="1:45" ht="15.75" customHeight="1">
      <c r="A629" s="20"/>
      <c r="B629" s="71"/>
      <c r="C629" s="20"/>
      <c r="D629" s="20"/>
      <c r="E629" s="20"/>
      <c r="F629" s="20"/>
      <c r="G629" s="20"/>
      <c r="H629" s="66"/>
      <c r="I629" s="66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142"/>
      <c r="W629" s="141"/>
      <c r="X629" s="74"/>
      <c r="Y629" s="75"/>
      <c r="Z629" s="75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</row>
    <row r="630" spans="1:45" ht="15.75" customHeight="1">
      <c r="A630" s="20"/>
      <c r="B630" s="71"/>
      <c r="C630" s="20"/>
      <c r="D630" s="20"/>
      <c r="E630" s="20"/>
      <c r="F630" s="20"/>
      <c r="G630" s="20"/>
      <c r="H630" s="66"/>
      <c r="I630" s="66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142"/>
      <c r="W630" s="141"/>
      <c r="X630" s="74"/>
      <c r="Y630" s="75"/>
      <c r="Z630" s="75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</row>
    <row r="631" spans="1:45" ht="15.75" customHeight="1">
      <c r="A631" s="20"/>
      <c r="B631" s="71"/>
      <c r="C631" s="20"/>
      <c r="D631" s="20"/>
      <c r="E631" s="20"/>
      <c r="F631" s="20"/>
      <c r="G631" s="20"/>
      <c r="H631" s="66"/>
      <c r="I631" s="66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142"/>
      <c r="W631" s="141"/>
      <c r="X631" s="74"/>
      <c r="Y631" s="75"/>
      <c r="Z631" s="75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</row>
    <row r="632" spans="1:45" ht="15.75" customHeight="1">
      <c r="A632" s="20"/>
      <c r="B632" s="71"/>
      <c r="C632" s="20"/>
      <c r="D632" s="20"/>
      <c r="E632" s="20"/>
      <c r="F632" s="20"/>
      <c r="G632" s="20"/>
      <c r="H632" s="66"/>
      <c r="I632" s="66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142"/>
      <c r="W632" s="141"/>
      <c r="X632" s="74"/>
      <c r="Y632" s="75"/>
      <c r="Z632" s="75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</row>
    <row r="633" spans="1:45" ht="15.75" customHeight="1">
      <c r="A633" s="20"/>
      <c r="B633" s="71"/>
      <c r="C633" s="20"/>
      <c r="D633" s="20"/>
      <c r="E633" s="20"/>
      <c r="F633" s="20"/>
      <c r="G633" s="20"/>
      <c r="H633" s="66"/>
      <c r="I633" s="66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142"/>
      <c r="W633" s="141"/>
      <c r="X633" s="74"/>
      <c r="Y633" s="75"/>
      <c r="Z633" s="75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</row>
    <row r="634" spans="1:45" ht="15.75" customHeight="1">
      <c r="A634" s="20"/>
      <c r="B634" s="71"/>
      <c r="C634" s="20"/>
      <c r="D634" s="20"/>
      <c r="E634" s="20"/>
      <c r="F634" s="20"/>
      <c r="G634" s="20"/>
      <c r="H634" s="66"/>
      <c r="I634" s="66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142"/>
      <c r="W634" s="141"/>
      <c r="X634" s="74"/>
      <c r="Y634" s="75"/>
      <c r="Z634" s="75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</row>
    <row r="635" spans="1:45" ht="15.75" customHeight="1">
      <c r="A635" s="20"/>
      <c r="B635" s="71"/>
      <c r="C635" s="20"/>
      <c r="D635" s="20"/>
      <c r="E635" s="20"/>
      <c r="F635" s="20"/>
      <c r="G635" s="20"/>
      <c r="H635" s="66"/>
      <c r="I635" s="66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142"/>
      <c r="W635" s="141"/>
      <c r="X635" s="74"/>
      <c r="Y635" s="75"/>
      <c r="Z635" s="75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</row>
    <row r="636" spans="1:45" ht="15.75" customHeight="1">
      <c r="A636" s="20"/>
      <c r="B636" s="71"/>
      <c r="C636" s="20"/>
      <c r="D636" s="20"/>
      <c r="E636" s="20"/>
      <c r="F636" s="20"/>
      <c r="G636" s="20"/>
      <c r="H636" s="66"/>
      <c r="I636" s="66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142"/>
      <c r="W636" s="141"/>
      <c r="X636" s="74"/>
      <c r="Y636" s="75"/>
      <c r="Z636" s="75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</row>
    <row r="637" spans="1:45" ht="15.75" customHeight="1">
      <c r="A637" s="20"/>
      <c r="B637" s="71"/>
      <c r="C637" s="20"/>
      <c r="D637" s="20"/>
      <c r="E637" s="20"/>
      <c r="F637" s="20"/>
      <c r="G637" s="20"/>
      <c r="H637" s="66"/>
      <c r="I637" s="66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142"/>
      <c r="W637" s="141"/>
      <c r="X637" s="74"/>
      <c r="Y637" s="75"/>
      <c r="Z637" s="75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</row>
    <row r="638" spans="1:45" ht="15.75" customHeight="1">
      <c r="A638" s="20"/>
      <c r="B638" s="71"/>
      <c r="C638" s="20"/>
      <c r="D638" s="20"/>
      <c r="E638" s="20"/>
      <c r="F638" s="20"/>
      <c r="G638" s="20"/>
      <c r="H638" s="66"/>
      <c r="I638" s="66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142"/>
      <c r="W638" s="141"/>
      <c r="X638" s="74"/>
      <c r="Y638" s="75"/>
      <c r="Z638" s="75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</row>
    <row r="639" spans="1:45" ht="15.75" customHeight="1">
      <c r="A639" s="20"/>
      <c r="B639" s="71"/>
      <c r="C639" s="20"/>
      <c r="D639" s="20"/>
      <c r="E639" s="20"/>
      <c r="F639" s="20"/>
      <c r="G639" s="20"/>
      <c r="H639" s="66"/>
      <c r="I639" s="66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142"/>
      <c r="W639" s="141"/>
      <c r="X639" s="74"/>
      <c r="Y639" s="75"/>
      <c r="Z639" s="75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</row>
    <row r="640" spans="1:45" ht="15.75" customHeight="1">
      <c r="A640" s="20"/>
      <c r="B640" s="71"/>
      <c r="C640" s="20"/>
      <c r="D640" s="20"/>
      <c r="E640" s="20"/>
      <c r="F640" s="20"/>
      <c r="G640" s="20"/>
      <c r="H640" s="66"/>
      <c r="I640" s="66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142"/>
      <c r="W640" s="141"/>
      <c r="X640" s="74"/>
      <c r="Y640" s="75"/>
      <c r="Z640" s="75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</row>
    <row r="641" spans="1:45" ht="15.75" customHeight="1">
      <c r="A641" s="20"/>
      <c r="B641" s="71"/>
      <c r="C641" s="20"/>
      <c r="D641" s="20"/>
      <c r="E641" s="20"/>
      <c r="F641" s="20"/>
      <c r="G641" s="20"/>
      <c r="H641" s="66"/>
      <c r="I641" s="66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142"/>
      <c r="W641" s="141"/>
      <c r="X641" s="74"/>
      <c r="Y641" s="75"/>
      <c r="Z641" s="75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</row>
    <row r="642" spans="1:45" ht="15.75" customHeight="1">
      <c r="A642" s="20"/>
      <c r="B642" s="71"/>
      <c r="C642" s="20"/>
      <c r="D642" s="20"/>
      <c r="E642" s="20"/>
      <c r="F642" s="20"/>
      <c r="G642" s="20"/>
      <c r="H642" s="66"/>
      <c r="I642" s="66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142"/>
      <c r="W642" s="141"/>
      <c r="X642" s="74"/>
      <c r="Y642" s="75"/>
      <c r="Z642" s="75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</row>
    <row r="643" spans="1:45" ht="15.75" customHeight="1">
      <c r="A643" s="20"/>
      <c r="B643" s="71"/>
      <c r="C643" s="20"/>
      <c r="D643" s="20"/>
      <c r="E643" s="20"/>
      <c r="F643" s="20"/>
      <c r="G643" s="20"/>
      <c r="H643" s="66"/>
      <c r="I643" s="66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142"/>
      <c r="W643" s="141"/>
      <c r="X643" s="74"/>
      <c r="Y643" s="75"/>
      <c r="Z643" s="75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</row>
    <row r="644" spans="1:45" ht="15.75" customHeight="1">
      <c r="A644" s="20"/>
      <c r="B644" s="71"/>
      <c r="C644" s="20"/>
      <c r="D644" s="20"/>
      <c r="E644" s="20"/>
      <c r="F644" s="20"/>
      <c r="G644" s="20"/>
      <c r="H644" s="66"/>
      <c r="I644" s="66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142"/>
      <c r="W644" s="141"/>
      <c r="X644" s="74"/>
      <c r="Y644" s="75"/>
      <c r="Z644" s="75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</row>
    <row r="645" spans="1:45" ht="15.75" customHeight="1">
      <c r="A645" s="20"/>
      <c r="B645" s="71"/>
      <c r="C645" s="20"/>
      <c r="D645" s="20"/>
      <c r="E645" s="20"/>
      <c r="F645" s="20"/>
      <c r="G645" s="20"/>
      <c r="H645" s="66"/>
      <c r="I645" s="66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142"/>
      <c r="W645" s="141"/>
      <c r="X645" s="74"/>
      <c r="Y645" s="75"/>
      <c r="Z645" s="75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</row>
    <row r="646" spans="1:45" ht="15.75" customHeight="1">
      <c r="A646" s="20"/>
      <c r="B646" s="71"/>
      <c r="C646" s="20"/>
      <c r="D646" s="20"/>
      <c r="E646" s="20"/>
      <c r="F646" s="20"/>
      <c r="G646" s="20"/>
      <c r="H646" s="66"/>
      <c r="I646" s="66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142"/>
      <c r="W646" s="141"/>
      <c r="X646" s="74"/>
      <c r="Y646" s="75"/>
      <c r="Z646" s="75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</row>
    <row r="647" spans="1:45" ht="15.75" customHeight="1">
      <c r="A647" s="20"/>
      <c r="B647" s="71"/>
      <c r="C647" s="20"/>
      <c r="D647" s="20"/>
      <c r="E647" s="20"/>
      <c r="F647" s="20"/>
      <c r="G647" s="20"/>
      <c r="H647" s="66"/>
      <c r="I647" s="66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142"/>
      <c r="W647" s="141"/>
      <c r="X647" s="74"/>
      <c r="Y647" s="75"/>
      <c r="Z647" s="75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</row>
    <row r="648" spans="1:45" ht="15.75" customHeight="1">
      <c r="A648" s="20"/>
      <c r="B648" s="71"/>
      <c r="C648" s="20"/>
      <c r="D648" s="20"/>
      <c r="E648" s="20"/>
      <c r="F648" s="20"/>
      <c r="G648" s="20"/>
      <c r="H648" s="66"/>
      <c r="I648" s="66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142"/>
      <c r="W648" s="141"/>
      <c r="X648" s="74"/>
      <c r="Y648" s="75"/>
      <c r="Z648" s="75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</row>
    <row r="649" spans="1:45" ht="15.75" customHeight="1">
      <c r="A649" s="20"/>
      <c r="B649" s="71"/>
      <c r="C649" s="20"/>
      <c r="D649" s="20"/>
      <c r="E649" s="20"/>
      <c r="F649" s="20"/>
      <c r="G649" s="20"/>
      <c r="H649" s="66"/>
      <c r="I649" s="66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142"/>
      <c r="W649" s="141"/>
      <c r="X649" s="74"/>
      <c r="Y649" s="75"/>
      <c r="Z649" s="75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</row>
    <row r="650" spans="1:45" ht="15.75" customHeight="1">
      <c r="A650" s="20"/>
      <c r="B650" s="71"/>
      <c r="C650" s="20"/>
      <c r="D650" s="20"/>
      <c r="E650" s="20"/>
      <c r="F650" s="20"/>
      <c r="G650" s="20"/>
      <c r="H650" s="66"/>
      <c r="I650" s="66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142"/>
      <c r="W650" s="141"/>
      <c r="X650" s="74"/>
      <c r="Y650" s="75"/>
      <c r="Z650" s="75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</row>
    <row r="651" spans="1:45" ht="15.75" customHeight="1">
      <c r="A651" s="20"/>
      <c r="B651" s="71"/>
      <c r="C651" s="20"/>
      <c r="D651" s="20"/>
      <c r="E651" s="20"/>
      <c r="F651" s="20"/>
      <c r="G651" s="20"/>
      <c r="H651" s="66"/>
      <c r="I651" s="66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142"/>
      <c r="W651" s="141"/>
      <c r="X651" s="74"/>
      <c r="Y651" s="75"/>
      <c r="Z651" s="75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</row>
    <row r="652" spans="1:45" ht="15.75" customHeight="1">
      <c r="A652" s="20"/>
      <c r="B652" s="71"/>
      <c r="C652" s="20"/>
      <c r="D652" s="20"/>
      <c r="E652" s="20"/>
      <c r="F652" s="20"/>
      <c r="G652" s="20"/>
      <c r="H652" s="66"/>
      <c r="I652" s="66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142"/>
      <c r="W652" s="141"/>
      <c r="X652" s="74"/>
      <c r="Y652" s="75"/>
      <c r="Z652" s="75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</row>
    <row r="653" spans="1:45" ht="15.75" customHeight="1">
      <c r="A653" s="20"/>
      <c r="B653" s="71"/>
      <c r="C653" s="20"/>
      <c r="D653" s="20"/>
      <c r="E653" s="20"/>
      <c r="F653" s="20"/>
      <c r="G653" s="20"/>
      <c r="H653" s="66"/>
      <c r="I653" s="66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142"/>
      <c r="W653" s="141"/>
      <c r="X653" s="74"/>
      <c r="Y653" s="75"/>
      <c r="Z653" s="75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</row>
    <row r="654" spans="1:45" ht="15.75" customHeight="1">
      <c r="A654" s="20"/>
      <c r="B654" s="71"/>
      <c r="C654" s="20"/>
      <c r="D654" s="20"/>
      <c r="E654" s="20"/>
      <c r="F654" s="20"/>
      <c r="G654" s="20"/>
      <c r="H654" s="66"/>
      <c r="I654" s="66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142"/>
      <c r="W654" s="141"/>
      <c r="X654" s="74"/>
      <c r="Y654" s="75"/>
      <c r="Z654" s="75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</row>
    <row r="655" spans="1:45" ht="15.75" customHeight="1">
      <c r="A655" s="20"/>
      <c r="B655" s="71"/>
      <c r="C655" s="20"/>
      <c r="D655" s="20"/>
      <c r="E655" s="20"/>
      <c r="F655" s="20"/>
      <c r="G655" s="20"/>
      <c r="H655" s="66"/>
      <c r="I655" s="66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142"/>
      <c r="W655" s="141"/>
      <c r="X655" s="74"/>
      <c r="Y655" s="75"/>
      <c r="Z655" s="75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</row>
    <row r="656" spans="1:45" ht="15.75" customHeight="1">
      <c r="A656" s="20"/>
      <c r="B656" s="71"/>
      <c r="C656" s="20"/>
      <c r="D656" s="20"/>
      <c r="E656" s="20"/>
      <c r="F656" s="20"/>
      <c r="G656" s="20"/>
      <c r="H656" s="66"/>
      <c r="I656" s="66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142"/>
      <c r="W656" s="141"/>
      <c r="X656" s="74"/>
      <c r="Y656" s="75"/>
      <c r="Z656" s="75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</row>
    <row r="657" spans="1:45" ht="15.75" customHeight="1">
      <c r="A657" s="20"/>
      <c r="B657" s="71"/>
      <c r="C657" s="20"/>
      <c r="D657" s="20"/>
      <c r="E657" s="20"/>
      <c r="F657" s="20"/>
      <c r="G657" s="20"/>
      <c r="H657" s="66"/>
      <c r="I657" s="66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142"/>
      <c r="W657" s="141"/>
      <c r="X657" s="74"/>
      <c r="Y657" s="75"/>
      <c r="Z657" s="75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</row>
    <row r="658" spans="1:45" ht="15.75" customHeight="1">
      <c r="A658" s="20"/>
      <c r="B658" s="71"/>
      <c r="C658" s="20"/>
      <c r="D658" s="20"/>
      <c r="E658" s="20"/>
      <c r="F658" s="20"/>
      <c r="G658" s="20"/>
      <c r="H658" s="66"/>
      <c r="I658" s="66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142"/>
      <c r="W658" s="141"/>
      <c r="X658" s="74"/>
      <c r="Y658" s="75"/>
      <c r="Z658" s="75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</row>
    <row r="659" spans="1:45" ht="15.75" customHeight="1">
      <c r="A659" s="20"/>
      <c r="B659" s="71"/>
      <c r="C659" s="20"/>
      <c r="D659" s="20"/>
      <c r="E659" s="20"/>
      <c r="F659" s="20"/>
      <c r="G659" s="20"/>
      <c r="H659" s="66"/>
      <c r="I659" s="66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142"/>
      <c r="W659" s="141"/>
      <c r="X659" s="74"/>
      <c r="Y659" s="75"/>
      <c r="Z659" s="75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</row>
    <row r="660" spans="1:45" ht="15.75" customHeight="1">
      <c r="A660" s="20"/>
      <c r="B660" s="71"/>
      <c r="C660" s="20"/>
      <c r="D660" s="20"/>
      <c r="E660" s="20"/>
      <c r="F660" s="20"/>
      <c r="G660" s="20"/>
      <c r="H660" s="66"/>
      <c r="I660" s="66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142"/>
      <c r="W660" s="141"/>
      <c r="X660" s="74"/>
      <c r="Y660" s="75"/>
      <c r="Z660" s="75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</row>
    <row r="661" spans="1:45" ht="15.75" customHeight="1">
      <c r="A661" s="20"/>
      <c r="B661" s="71"/>
      <c r="C661" s="20"/>
      <c r="D661" s="20"/>
      <c r="E661" s="20"/>
      <c r="F661" s="20"/>
      <c r="G661" s="20"/>
      <c r="H661" s="66"/>
      <c r="I661" s="66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142"/>
      <c r="W661" s="141"/>
      <c r="X661" s="74"/>
      <c r="Y661" s="75"/>
      <c r="Z661" s="75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</row>
    <row r="662" spans="1:45" ht="15.75" customHeight="1">
      <c r="A662" s="20"/>
      <c r="B662" s="71"/>
      <c r="C662" s="20"/>
      <c r="D662" s="20"/>
      <c r="E662" s="20"/>
      <c r="F662" s="20"/>
      <c r="G662" s="20"/>
      <c r="H662" s="66"/>
      <c r="I662" s="66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142"/>
      <c r="W662" s="141"/>
      <c r="X662" s="74"/>
      <c r="Y662" s="75"/>
      <c r="Z662" s="75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</row>
    <row r="663" spans="1:45" ht="15.75" customHeight="1">
      <c r="A663" s="20"/>
      <c r="B663" s="71"/>
      <c r="C663" s="20"/>
      <c r="D663" s="20"/>
      <c r="E663" s="20"/>
      <c r="F663" s="20"/>
      <c r="G663" s="20"/>
      <c r="H663" s="66"/>
      <c r="I663" s="66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142"/>
      <c r="W663" s="141"/>
      <c r="X663" s="74"/>
      <c r="Y663" s="75"/>
      <c r="Z663" s="75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</row>
    <row r="664" spans="1:45" ht="15.75" customHeight="1">
      <c r="A664" s="20"/>
      <c r="B664" s="71"/>
      <c r="C664" s="20"/>
      <c r="D664" s="20"/>
      <c r="E664" s="20"/>
      <c r="F664" s="20"/>
      <c r="G664" s="20"/>
      <c r="H664" s="66"/>
      <c r="I664" s="66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142"/>
      <c r="W664" s="141"/>
      <c r="X664" s="74"/>
      <c r="Y664" s="75"/>
      <c r="Z664" s="75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</row>
    <row r="665" spans="1:45" ht="15.75" customHeight="1">
      <c r="A665" s="20"/>
      <c r="B665" s="71"/>
      <c r="C665" s="20"/>
      <c r="D665" s="20"/>
      <c r="E665" s="20"/>
      <c r="F665" s="20"/>
      <c r="G665" s="20"/>
      <c r="H665" s="66"/>
      <c r="I665" s="66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142"/>
      <c r="W665" s="141"/>
      <c r="X665" s="74"/>
      <c r="Y665" s="75"/>
      <c r="Z665" s="75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</row>
    <row r="666" spans="1:45" ht="15.75" customHeight="1">
      <c r="A666" s="20"/>
      <c r="B666" s="71"/>
      <c r="C666" s="20"/>
      <c r="D666" s="20"/>
      <c r="E666" s="20"/>
      <c r="F666" s="20"/>
      <c r="G666" s="20"/>
      <c r="H666" s="66"/>
      <c r="I666" s="66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142"/>
      <c r="W666" s="141"/>
      <c r="X666" s="74"/>
      <c r="Y666" s="75"/>
      <c r="Z666" s="75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</row>
    <row r="667" spans="1:45" ht="15.75" customHeight="1">
      <c r="A667" s="20"/>
      <c r="B667" s="71"/>
      <c r="C667" s="20"/>
      <c r="D667" s="20"/>
      <c r="E667" s="20"/>
      <c r="F667" s="20"/>
      <c r="G667" s="20"/>
      <c r="H667" s="66"/>
      <c r="I667" s="66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142"/>
      <c r="W667" s="141"/>
      <c r="X667" s="74"/>
      <c r="Y667" s="75"/>
      <c r="Z667" s="75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</row>
    <row r="668" spans="1:45" ht="15.75" customHeight="1">
      <c r="A668" s="20"/>
      <c r="B668" s="71"/>
      <c r="C668" s="20"/>
      <c r="D668" s="20"/>
      <c r="E668" s="20"/>
      <c r="F668" s="20"/>
      <c r="G668" s="20"/>
      <c r="H668" s="66"/>
      <c r="I668" s="66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142"/>
      <c r="W668" s="141"/>
      <c r="X668" s="74"/>
      <c r="Y668" s="75"/>
      <c r="Z668" s="75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</row>
    <row r="669" spans="1:45" ht="15.75" customHeight="1">
      <c r="A669" s="20"/>
      <c r="B669" s="71"/>
      <c r="C669" s="20"/>
      <c r="D669" s="20"/>
      <c r="E669" s="20"/>
      <c r="F669" s="20"/>
      <c r="G669" s="20"/>
      <c r="H669" s="66"/>
      <c r="I669" s="66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142"/>
      <c r="W669" s="141"/>
      <c r="X669" s="74"/>
      <c r="Y669" s="75"/>
      <c r="Z669" s="75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</row>
    <row r="670" spans="1:45" ht="15.75" customHeight="1">
      <c r="A670" s="20"/>
      <c r="B670" s="71"/>
      <c r="C670" s="20"/>
      <c r="D670" s="20"/>
      <c r="E670" s="20"/>
      <c r="F670" s="20"/>
      <c r="G670" s="20"/>
      <c r="H670" s="66"/>
      <c r="I670" s="66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142"/>
      <c r="W670" s="141"/>
      <c r="X670" s="74"/>
      <c r="Y670" s="75"/>
      <c r="Z670" s="75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</row>
    <row r="671" spans="1:45" ht="15.75" customHeight="1">
      <c r="A671" s="20"/>
      <c r="B671" s="71"/>
      <c r="C671" s="20"/>
      <c r="D671" s="20"/>
      <c r="E671" s="20"/>
      <c r="F671" s="20"/>
      <c r="G671" s="20"/>
      <c r="H671" s="66"/>
      <c r="I671" s="66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142"/>
      <c r="W671" s="141"/>
      <c r="X671" s="74"/>
      <c r="Y671" s="75"/>
      <c r="Z671" s="75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</row>
    <row r="672" spans="1:45" ht="15.75" customHeight="1">
      <c r="A672" s="20"/>
      <c r="B672" s="71"/>
      <c r="C672" s="20"/>
      <c r="D672" s="20"/>
      <c r="E672" s="20"/>
      <c r="F672" s="20"/>
      <c r="G672" s="20"/>
      <c r="H672" s="66"/>
      <c r="I672" s="66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142"/>
      <c r="W672" s="141"/>
      <c r="X672" s="74"/>
      <c r="Y672" s="75"/>
      <c r="Z672" s="75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</row>
    <row r="673" spans="1:45" ht="15.75" customHeight="1">
      <c r="A673" s="20"/>
      <c r="B673" s="71"/>
      <c r="C673" s="20"/>
      <c r="D673" s="20"/>
      <c r="E673" s="20"/>
      <c r="F673" s="20"/>
      <c r="G673" s="20"/>
      <c r="H673" s="66"/>
      <c r="I673" s="66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142"/>
      <c r="W673" s="141"/>
      <c r="X673" s="74"/>
      <c r="Y673" s="75"/>
      <c r="Z673" s="75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</row>
    <row r="674" spans="1:45" ht="15.75" customHeight="1">
      <c r="A674" s="20"/>
      <c r="B674" s="71"/>
      <c r="C674" s="20"/>
      <c r="D674" s="20"/>
      <c r="E674" s="20"/>
      <c r="F674" s="20"/>
      <c r="G674" s="20"/>
      <c r="H674" s="66"/>
      <c r="I674" s="66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142"/>
      <c r="W674" s="141"/>
      <c r="X674" s="74"/>
      <c r="Y674" s="75"/>
      <c r="Z674" s="75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</row>
    <row r="675" spans="1:45" ht="15.75" customHeight="1">
      <c r="A675" s="20"/>
      <c r="B675" s="71"/>
      <c r="C675" s="20"/>
      <c r="D675" s="20"/>
      <c r="E675" s="20"/>
      <c r="F675" s="20"/>
      <c r="G675" s="20"/>
      <c r="H675" s="66"/>
      <c r="I675" s="66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142"/>
      <c r="W675" s="141"/>
      <c r="X675" s="74"/>
      <c r="Y675" s="75"/>
      <c r="Z675" s="75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</row>
    <row r="676" spans="1:45" ht="15.75" customHeight="1">
      <c r="A676" s="20"/>
      <c r="B676" s="71"/>
      <c r="C676" s="20"/>
      <c r="D676" s="20"/>
      <c r="E676" s="20"/>
      <c r="F676" s="20"/>
      <c r="G676" s="20"/>
      <c r="H676" s="66"/>
      <c r="I676" s="66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142"/>
      <c r="W676" s="141"/>
      <c r="X676" s="74"/>
      <c r="Y676" s="75"/>
      <c r="Z676" s="75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</row>
    <row r="677" spans="1:45" ht="15.75" customHeight="1">
      <c r="A677" s="20"/>
      <c r="B677" s="71"/>
      <c r="C677" s="20"/>
      <c r="D677" s="20"/>
      <c r="E677" s="20"/>
      <c r="F677" s="20"/>
      <c r="G677" s="20"/>
      <c r="H677" s="66"/>
      <c r="I677" s="66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142"/>
      <c r="W677" s="141"/>
      <c r="X677" s="74"/>
      <c r="Y677" s="75"/>
      <c r="Z677" s="75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</row>
    <row r="678" spans="1:45" ht="15.75" customHeight="1">
      <c r="A678" s="20"/>
      <c r="B678" s="71"/>
      <c r="C678" s="20"/>
      <c r="D678" s="20"/>
      <c r="E678" s="20"/>
      <c r="F678" s="20"/>
      <c r="G678" s="20"/>
      <c r="H678" s="66"/>
      <c r="I678" s="66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142"/>
      <c r="W678" s="141"/>
      <c r="X678" s="74"/>
      <c r="Y678" s="75"/>
      <c r="Z678" s="75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</row>
    <row r="679" spans="1:45" ht="15.75" customHeight="1">
      <c r="A679" s="20"/>
      <c r="B679" s="71"/>
      <c r="C679" s="20"/>
      <c r="D679" s="20"/>
      <c r="E679" s="20"/>
      <c r="F679" s="20"/>
      <c r="G679" s="20"/>
      <c r="H679" s="66"/>
      <c r="I679" s="66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142"/>
      <c r="W679" s="141"/>
      <c r="X679" s="74"/>
      <c r="Y679" s="75"/>
      <c r="Z679" s="75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</row>
    <row r="680" spans="1:45" ht="15.75" customHeight="1">
      <c r="A680" s="20"/>
      <c r="B680" s="71"/>
      <c r="C680" s="20"/>
      <c r="D680" s="20"/>
      <c r="E680" s="20"/>
      <c r="F680" s="20"/>
      <c r="G680" s="20"/>
      <c r="H680" s="66"/>
      <c r="I680" s="66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142"/>
      <c r="W680" s="141"/>
      <c r="X680" s="74"/>
      <c r="Y680" s="75"/>
      <c r="Z680" s="75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</row>
    <row r="681" spans="1:45" ht="15.75" customHeight="1">
      <c r="A681" s="20"/>
      <c r="B681" s="71"/>
      <c r="C681" s="20"/>
      <c r="D681" s="20"/>
      <c r="E681" s="20"/>
      <c r="F681" s="20"/>
      <c r="G681" s="20"/>
      <c r="H681" s="66"/>
      <c r="I681" s="66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142"/>
      <c r="W681" s="141"/>
      <c r="X681" s="74"/>
      <c r="Y681" s="75"/>
      <c r="Z681" s="75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</row>
    <row r="682" spans="1:45" ht="15.75" customHeight="1">
      <c r="A682" s="20"/>
      <c r="B682" s="71"/>
      <c r="C682" s="20"/>
      <c r="D682" s="20"/>
      <c r="E682" s="20"/>
      <c r="F682" s="20"/>
      <c r="G682" s="20"/>
      <c r="H682" s="66"/>
      <c r="I682" s="66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142"/>
      <c r="W682" s="141"/>
      <c r="X682" s="74"/>
      <c r="Y682" s="75"/>
      <c r="Z682" s="75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</row>
    <row r="683" spans="1:45" ht="15.75" customHeight="1">
      <c r="A683" s="20"/>
      <c r="B683" s="71"/>
      <c r="C683" s="20"/>
      <c r="D683" s="20"/>
      <c r="E683" s="20"/>
      <c r="F683" s="20"/>
      <c r="G683" s="20"/>
      <c r="H683" s="66"/>
      <c r="I683" s="66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142"/>
      <c r="W683" s="141"/>
      <c r="X683" s="74"/>
      <c r="Y683" s="75"/>
      <c r="Z683" s="75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</row>
    <row r="684" spans="1:45" ht="15.75" customHeight="1">
      <c r="A684" s="20"/>
      <c r="B684" s="71"/>
      <c r="C684" s="20"/>
      <c r="D684" s="20"/>
      <c r="E684" s="20"/>
      <c r="F684" s="20"/>
      <c r="G684" s="20"/>
      <c r="H684" s="66"/>
      <c r="I684" s="66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142"/>
      <c r="W684" s="141"/>
      <c r="X684" s="74"/>
      <c r="Y684" s="75"/>
      <c r="Z684" s="75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</row>
    <row r="685" spans="1:45" ht="15.75" customHeight="1">
      <c r="A685" s="20"/>
      <c r="B685" s="71"/>
      <c r="C685" s="20"/>
      <c r="D685" s="20"/>
      <c r="E685" s="20"/>
      <c r="F685" s="20"/>
      <c r="G685" s="20"/>
      <c r="H685" s="66"/>
      <c r="I685" s="66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142"/>
      <c r="W685" s="141"/>
      <c r="X685" s="74"/>
      <c r="Y685" s="75"/>
      <c r="Z685" s="75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</row>
    <row r="686" spans="1:45" ht="15.75" customHeight="1">
      <c r="A686" s="20"/>
      <c r="B686" s="71"/>
      <c r="C686" s="20"/>
      <c r="D686" s="20"/>
      <c r="E686" s="20"/>
      <c r="F686" s="20"/>
      <c r="G686" s="20"/>
      <c r="H686" s="66"/>
      <c r="I686" s="66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142"/>
      <c r="W686" s="141"/>
      <c r="X686" s="74"/>
      <c r="Y686" s="75"/>
      <c r="Z686" s="75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</row>
    <row r="687" spans="1:45" ht="15.75" customHeight="1">
      <c r="A687" s="20"/>
      <c r="B687" s="71"/>
      <c r="C687" s="20"/>
      <c r="D687" s="20"/>
      <c r="E687" s="20"/>
      <c r="F687" s="20"/>
      <c r="G687" s="20"/>
      <c r="H687" s="66"/>
      <c r="I687" s="66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142"/>
      <c r="W687" s="141"/>
      <c r="X687" s="74"/>
      <c r="Y687" s="75"/>
      <c r="Z687" s="75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</row>
    <row r="688" spans="1:45" ht="15.75" customHeight="1">
      <c r="A688" s="20"/>
      <c r="B688" s="71"/>
      <c r="C688" s="20"/>
      <c r="D688" s="20"/>
      <c r="E688" s="20"/>
      <c r="F688" s="20"/>
      <c r="G688" s="20"/>
      <c r="H688" s="66"/>
      <c r="I688" s="66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142"/>
      <c r="W688" s="141"/>
      <c r="X688" s="74"/>
      <c r="Y688" s="75"/>
      <c r="Z688" s="75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</row>
    <row r="689" spans="1:45" ht="15.75" customHeight="1">
      <c r="A689" s="20"/>
      <c r="B689" s="71"/>
      <c r="C689" s="20"/>
      <c r="D689" s="20"/>
      <c r="E689" s="20"/>
      <c r="F689" s="20"/>
      <c r="G689" s="20"/>
      <c r="H689" s="66"/>
      <c r="I689" s="66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142"/>
      <c r="W689" s="141"/>
      <c r="X689" s="74"/>
      <c r="Y689" s="75"/>
      <c r="Z689" s="75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</row>
    <row r="690" spans="1:45" ht="15.75" customHeight="1">
      <c r="A690" s="20"/>
      <c r="B690" s="71"/>
      <c r="C690" s="20"/>
      <c r="D690" s="20"/>
      <c r="E690" s="20"/>
      <c r="F690" s="20"/>
      <c r="G690" s="20"/>
      <c r="H690" s="66"/>
      <c r="I690" s="66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142"/>
      <c r="W690" s="141"/>
      <c r="X690" s="74"/>
      <c r="Y690" s="75"/>
      <c r="Z690" s="75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</row>
    <row r="691" spans="1:45" ht="15.75" customHeight="1">
      <c r="A691" s="20"/>
      <c r="B691" s="71"/>
      <c r="C691" s="20"/>
      <c r="D691" s="20"/>
      <c r="E691" s="20"/>
      <c r="F691" s="20"/>
      <c r="G691" s="20"/>
      <c r="H691" s="66"/>
      <c r="I691" s="66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142"/>
      <c r="W691" s="141"/>
      <c r="X691" s="74"/>
      <c r="Y691" s="75"/>
      <c r="Z691" s="75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</row>
    <row r="692" spans="1:45" ht="15.75" customHeight="1">
      <c r="A692" s="20"/>
      <c r="B692" s="71"/>
      <c r="C692" s="20"/>
      <c r="D692" s="20"/>
      <c r="E692" s="20"/>
      <c r="F692" s="20"/>
      <c r="G692" s="20"/>
      <c r="H692" s="66"/>
      <c r="I692" s="66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142"/>
      <c r="W692" s="141"/>
      <c r="X692" s="74"/>
      <c r="Y692" s="75"/>
      <c r="Z692" s="75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</row>
    <row r="693" spans="1:45" ht="15.75" customHeight="1">
      <c r="A693" s="20"/>
      <c r="B693" s="71"/>
      <c r="C693" s="20"/>
      <c r="D693" s="20"/>
      <c r="E693" s="20"/>
      <c r="F693" s="20"/>
      <c r="G693" s="20"/>
      <c r="H693" s="66"/>
      <c r="I693" s="66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142"/>
      <c r="W693" s="141"/>
      <c r="X693" s="74"/>
      <c r="Y693" s="75"/>
      <c r="Z693" s="75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</row>
    <row r="694" spans="1:45" ht="15.75" customHeight="1">
      <c r="A694" s="20"/>
      <c r="B694" s="71"/>
      <c r="C694" s="20"/>
      <c r="D694" s="20"/>
      <c r="E694" s="20"/>
      <c r="F694" s="20"/>
      <c r="G694" s="20"/>
      <c r="H694" s="66"/>
      <c r="I694" s="66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142"/>
      <c r="W694" s="141"/>
      <c r="X694" s="74"/>
      <c r="Y694" s="75"/>
      <c r="Z694" s="75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</row>
    <row r="695" spans="1:45" ht="15.75" customHeight="1">
      <c r="A695" s="20"/>
      <c r="B695" s="71"/>
      <c r="C695" s="20"/>
      <c r="D695" s="20"/>
      <c r="E695" s="20"/>
      <c r="F695" s="20"/>
      <c r="G695" s="20"/>
      <c r="H695" s="66"/>
      <c r="I695" s="66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142"/>
      <c r="W695" s="141"/>
      <c r="X695" s="74"/>
      <c r="Y695" s="75"/>
      <c r="Z695" s="75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</row>
    <row r="696" spans="1:45" ht="15.75" customHeight="1">
      <c r="A696" s="20"/>
      <c r="B696" s="71"/>
      <c r="C696" s="20"/>
      <c r="D696" s="20"/>
      <c r="E696" s="20"/>
      <c r="F696" s="20"/>
      <c r="G696" s="20"/>
      <c r="H696" s="66"/>
      <c r="I696" s="66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142"/>
      <c r="W696" s="141"/>
      <c r="X696" s="74"/>
      <c r="Y696" s="75"/>
      <c r="Z696" s="75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</row>
    <row r="697" spans="1:45" ht="15.75" customHeight="1">
      <c r="A697" s="20"/>
      <c r="B697" s="71"/>
      <c r="C697" s="20"/>
      <c r="D697" s="20"/>
      <c r="E697" s="20"/>
      <c r="F697" s="20"/>
      <c r="G697" s="20"/>
      <c r="H697" s="66"/>
      <c r="I697" s="66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142"/>
      <c r="W697" s="141"/>
      <c r="X697" s="74"/>
      <c r="Y697" s="75"/>
      <c r="Z697" s="75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</row>
    <row r="698" spans="1:45" ht="15.75" customHeight="1">
      <c r="A698" s="20"/>
      <c r="B698" s="71"/>
      <c r="C698" s="20"/>
      <c r="D698" s="20"/>
      <c r="E698" s="20"/>
      <c r="F698" s="20"/>
      <c r="G698" s="20"/>
      <c r="H698" s="66"/>
      <c r="I698" s="66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142"/>
      <c r="W698" s="141"/>
      <c r="X698" s="74"/>
      <c r="Y698" s="75"/>
      <c r="Z698" s="75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</row>
    <row r="699" spans="1:45" ht="15.75" customHeight="1">
      <c r="A699" s="20"/>
      <c r="B699" s="71"/>
      <c r="C699" s="20"/>
      <c r="D699" s="20"/>
      <c r="E699" s="20"/>
      <c r="F699" s="20"/>
      <c r="G699" s="20"/>
      <c r="H699" s="66"/>
      <c r="I699" s="66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142"/>
      <c r="W699" s="141"/>
      <c r="X699" s="74"/>
      <c r="Y699" s="75"/>
      <c r="Z699" s="75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</row>
    <row r="700" spans="1:45" ht="15.75" customHeight="1">
      <c r="A700" s="20"/>
      <c r="B700" s="71"/>
      <c r="C700" s="20"/>
      <c r="D700" s="20"/>
      <c r="E700" s="20"/>
      <c r="F700" s="20"/>
      <c r="G700" s="20"/>
      <c r="H700" s="66"/>
      <c r="I700" s="66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142"/>
      <c r="W700" s="141"/>
      <c r="X700" s="74"/>
      <c r="Y700" s="75"/>
      <c r="Z700" s="75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</row>
    <row r="701" spans="1:45" ht="15.75" customHeight="1">
      <c r="A701" s="20"/>
      <c r="B701" s="71"/>
      <c r="C701" s="20"/>
      <c r="D701" s="20"/>
      <c r="E701" s="20"/>
      <c r="F701" s="20"/>
      <c r="G701" s="20"/>
      <c r="H701" s="66"/>
      <c r="I701" s="66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142"/>
      <c r="W701" s="141"/>
      <c r="X701" s="74"/>
      <c r="Y701" s="75"/>
      <c r="Z701" s="75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</row>
    <row r="702" spans="1:45" ht="15.75" customHeight="1">
      <c r="A702" s="20"/>
      <c r="B702" s="71"/>
      <c r="C702" s="20"/>
      <c r="D702" s="20"/>
      <c r="E702" s="20"/>
      <c r="F702" s="20"/>
      <c r="G702" s="20"/>
      <c r="H702" s="66"/>
      <c r="I702" s="66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142"/>
      <c r="W702" s="141"/>
      <c r="X702" s="74"/>
      <c r="Y702" s="75"/>
      <c r="Z702" s="75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</row>
    <row r="703" spans="1:45" ht="15.75" customHeight="1">
      <c r="A703" s="20"/>
      <c r="B703" s="71"/>
      <c r="C703" s="20"/>
      <c r="D703" s="20"/>
      <c r="E703" s="20"/>
      <c r="F703" s="20"/>
      <c r="G703" s="20"/>
      <c r="H703" s="66"/>
      <c r="I703" s="66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142"/>
      <c r="W703" s="141"/>
      <c r="X703" s="74"/>
      <c r="Y703" s="75"/>
      <c r="Z703" s="75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</row>
    <row r="704" spans="1:45" ht="15.75" customHeight="1">
      <c r="A704" s="20"/>
      <c r="B704" s="71"/>
      <c r="C704" s="20"/>
      <c r="D704" s="20"/>
      <c r="E704" s="20"/>
      <c r="F704" s="20"/>
      <c r="G704" s="20"/>
      <c r="H704" s="66"/>
      <c r="I704" s="66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142"/>
      <c r="W704" s="141"/>
      <c r="X704" s="74"/>
      <c r="Y704" s="75"/>
      <c r="Z704" s="75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</row>
    <row r="705" spans="1:45" ht="15.75" customHeight="1">
      <c r="A705" s="20"/>
      <c r="B705" s="71"/>
      <c r="C705" s="20"/>
      <c r="D705" s="20"/>
      <c r="E705" s="20"/>
      <c r="F705" s="20"/>
      <c r="G705" s="20"/>
      <c r="H705" s="66"/>
      <c r="I705" s="66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142"/>
      <c r="W705" s="141"/>
      <c r="X705" s="74"/>
      <c r="Y705" s="75"/>
      <c r="Z705" s="75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</row>
    <row r="706" spans="1:45" ht="15.75" customHeight="1">
      <c r="A706" s="20"/>
      <c r="B706" s="71"/>
      <c r="C706" s="20"/>
      <c r="D706" s="20"/>
      <c r="E706" s="20"/>
      <c r="F706" s="20"/>
      <c r="G706" s="20"/>
      <c r="H706" s="66"/>
      <c r="I706" s="66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142"/>
      <c r="W706" s="141"/>
      <c r="X706" s="74"/>
      <c r="Y706" s="75"/>
      <c r="Z706" s="75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</row>
    <row r="707" spans="1:45" ht="15.75" customHeight="1">
      <c r="A707" s="20"/>
      <c r="B707" s="71"/>
      <c r="C707" s="20"/>
      <c r="D707" s="20"/>
      <c r="E707" s="20"/>
      <c r="F707" s="20"/>
      <c r="G707" s="20"/>
      <c r="H707" s="66"/>
      <c r="I707" s="66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142"/>
      <c r="W707" s="141"/>
      <c r="X707" s="74"/>
      <c r="Y707" s="75"/>
      <c r="Z707" s="75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</row>
    <row r="708" spans="1:45" ht="15.75" customHeight="1">
      <c r="A708" s="20"/>
      <c r="B708" s="71"/>
      <c r="C708" s="20"/>
      <c r="D708" s="20"/>
      <c r="E708" s="20"/>
      <c r="F708" s="20"/>
      <c r="G708" s="20"/>
      <c r="H708" s="66"/>
      <c r="I708" s="66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142"/>
      <c r="W708" s="141"/>
      <c r="X708" s="74"/>
      <c r="Y708" s="75"/>
      <c r="Z708" s="75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</row>
    <row r="709" spans="1:45" ht="15.75" customHeight="1">
      <c r="A709" s="20"/>
      <c r="B709" s="71"/>
      <c r="C709" s="20"/>
      <c r="D709" s="20"/>
      <c r="E709" s="20"/>
      <c r="F709" s="20"/>
      <c r="G709" s="20"/>
      <c r="H709" s="66"/>
      <c r="I709" s="66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142"/>
      <c r="W709" s="141"/>
      <c r="X709" s="74"/>
      <c r="Y709" s="75"/>
      <c r="Z709" s="75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</row>
    <row r="710" spans="1:45" ht="15.75" customHeight="1">
      <c r="A710" s="20"/>
      <c r="B710" s="71"/>
      <c r="C710" s="20"/>
      <c r="D710" s="20"/>
      <c r="E710" s="20"/>
      <c r="F710" s="20"/>
      <c r="G710" s="20"/>
      <c r="H710" s="66"/>
      <c r="I710" s="66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142"/>
      <c r="W710" s="141"/>
      <c r="X710" s="74"/>
      <c r="Y710" s="75"/>
      <c r="Z710" s="75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</row>
    <row r="711" spans="1:45" ht="15.75" customHeight="1">
      <c r="A711" s="20"/>
      <c r="B711" s="71"/>
      <c r="C711" s="20"/>
      <c r="D711" s="20"/>
      <c r="E711" s="20"/>
      <c r="F711" s="20"/>
      <c r="G711" s="20"/>
      <c r="H711" s="66"/>
      <c r="I711" s="66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142"/>
      <c r="W711" s="141"/>
      <c r="X711" s="74"/>
      <c r="Y711" s="75"/>
      <c r="Z711" s="75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</row>
    <row r="712" spans="1:45" ht="15.75" customHeight="1">
      <c r="A712" s="20"/>
      <c r="B712" s="71"/>
      <c r="C712" s="20"/>
      <c r="D712" s="20"/>
      <c r="E712" s="20"/>
      <c r="F712" s="20"/>
      <c r="G712" s="20"/>
      <c r="H712" s="66"/>
      <c r="I712" s="66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142"/>
      <c r="W712" s="141"/>
      <c r="X712" s="74"/>
      <c r="Y712" s="75"/>
      <c r="Z712" s="75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</row>
    <row r="713" spans="1:45" ht="15.75" customHeight="1">
      <c r="A713" s="20"/>
      <c r="B713" s="71"/>
      <c r="C713" s="20"/>
      <c r="D713" s="20"/>
      <c r="E713" s="20"/>
      <c r="F713" s="20"/>
      <c r="G713" s="20"/>
      <c r="H713" s="66"/>
      <c r="I713" s="66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142"/>
      <c r="W713" s="141"/>
      <c r="X713" s="74"/>
      <c r="Y713" s="75"/>
      <c r="Z713" s="75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</row>
    <row r="714" spans="1:45" ht="15.75" customHeight="1">
      <c r="A714" s="20"/>
      <c r="B714" s="71"/>
      <c r="C714" s="20"/>
      <c r="D714" s="20"/>
      <c r="E714" s="20"/>
      <c r="F714" s="20"/>
      <c r="G714" s="20"/>
      <c r="H714" s="66"/>
      <c r="I714" s="66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142"/>
      <c r="W714" s="141"/>
      <c r="X714" s="74"/>
      <c r="Y714" s="75"/>
      <c r="Z714" s="75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</row>
    <row r="715" spans="1:45" ht="15.75" customHeight="1">
      <c r="A715" s="20"/>
      <c r="B715" s="71"/>
      <c r="C715" s="20"/>
      <c r="D715" s="20"/>
      <c r="E715" s="20"/>
      <c r="F715" s="20"/>
      <c r="G715" s="20"/>
      <c r="H715" s="66"/>
      <c r="I715" s="66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142"/>
      <c r="W715" s="141"/>
      <c r="X715" s="74"/>
      <c r="Y715" s="75"/>
      <c r="Z715" s="75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</row>
    <row r="716" spans="1:45" ht="15.75" customHeight="1">
      <c r="A716" s="20"/>
      <c r="B716" s="71"/>
      <c r="C716" s="20"/>
      <c r="D716" s="20"/>
      <c r="E716" s="20"/>
      <c r="F716" s="20"/>
      <c r="G716" s="20"/>
      <c r="H716" s="66"/>
      <c r="I716" s="66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142"/>
      <c r="W716" s="141"/>
      <c r="X716" s="74"/>
      <c r="Y716" s="75"/>
      <c r="Z716" s="75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</row>
    <row r="717" spans="1:45" ht="15.75" customHeight="1">
      <c r="A717" s="20"/>
      <c r="B717" s="71"/>
      <c r="C717" s="20"/>
      <c r="D717" s="20"/>
      <c r="E717" s="20"/>
      <c r="F717" s="20"/>
      <c r="G717" s="20"/>
      <c r="H717" s="66"/>
      <c r="I717" s="66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142"/>
      <c r="W717" s="141"/>
      <c r="X717" s="74"/>
      <c r="Y717" s="75"/>
      <c r="Z717" s="75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</row>
    <row r="718" spans="1:45" ht="15.75" customHeight="1">
      <c r="A718" s="20"/>
      <c r="B718" s="71"/>
      <c r="C718" s="20"/>
      <c r="D718" s="20"/>
      <c r="E718" s="20"/>
      <c r="F718" s="20"/>
      <c r="G718" s="20"/>
      <c r="H718" s="66"/>
      <c r="I718" s="66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142"/>
      <c r="W718" s="141"/>
      <c r="X718" s="74"/>
      <c r="Y718" s="75"/>
      <c r="Z718" s="75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</row>
    <row r="719" spans="1:45" ht="15.75" customHeight="1">
      <c r="A719" s="20"/>
      <c r="B719" s="71"/>
      <c r="C719" s="20"/>
      <c r="D719" s="20"/>
      <c r="E719" s="20"/>
      <c r="F719" s="20"/>
      <c r="G719" s="20"/>
      <c r="H719" s="66"/>
      <c r="I719" s="66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142"/>
      <c r="W719" s="141"/>
      <c r="X719" s="74"/>
      <c r="Y719" s="75"/>
      <c r="Z719" s="75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</row>
    <row r="720" spans="1:45" ht="15.75" customHeight="1">
      <c r="A720" s="20"/>
      <c r="B720" s="71"/>
      <c r="C720" s="20"/>
      <c r="D720" s="20"/>
      <c r="E720" s="20"/>
      <c r="F720" s="20"/>
      <c r="G720" s="20"/>
      <c r="H720" s="66"/>
      <c r="I720" s="66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142"/>
      <c r="W720" s="141"/>
      <c r="X720" s="74"/>
      <c r="Y720" s="75"/>
      <c r="Z720" s="75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</row>
    <row r="721" spans="1:45" ht="15.75" customHeight="1">
      <c r="A721" s="20"/>
      <c r="B721" s="71"/>
      <c r="C721" s="20"/>
      <c r="D721" s="20"/>
      <c r="E721" s="20"/>
      <c r="F721" s="20"/>
      <c r="G721" s="20"/>
      <c r="H721" s="66"/>
      <c r="I721" s="66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142"/>
      <c r="W721" s="141"/>
      <c r="X721" s="74"/>
      <c r="Y721" s="75"/>
      <c r="Z721" s="75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</row>
    <row r="722" spans="1:45" ht="15.75" customHeight="1">
      <c r="A722" s="20"/>
      <c r="B722" s="71"/>
      <c r="C722" s="20"/>
      <c r="D722" s="20"/>
      <c r="E722" s="20"/>
      <c r="F722" s="20"/>
      <c r="G722" s="20"/>
      <c r="H722" s="66"/>
      <c r="I722" s="66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142"/>
      <c r="W722" s="141"/>
      <c r="X722" s="74"/>
      <c r="Y722" s="75"/>
      <c r="Z722" s="75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</row>
    <row r="723" spans="1:45" ht="15.75" customHeight="1">
      <c r="A723" s="20"/>
      <c r="B723" s="71"/>
      <c r="C723" s="20"/>
      <c r="D723" s="20"/>
      <c r="E723" s="20"/>
      <c r="F723" s="20"/>
      <c r="G723" s="20"/>
      <c r="H723" s="66"/>
      <c r="I723" s="66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142"/>
      <c r="W723" s="141"/>
      <c r="X723" s="74"/>
      <c r="Y723" s="75"/>
      <c r="Z723" s="75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</row>
    <row r="724" spans="1:45" ht="15.75" customHeight="1">
      <c r="A724" s="20"/>
      <c r="B724" s="71"/>
      <c r="C724" s="20"/>
      <c r="D724" s="20"/>
      <c r="E724" s="20"/>
      <c r="F724" s="20"/>
      <c r="G724" s="20"/>
      <c r="H724" s="66"/>
      <c r="I724" s="66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142"/>
      <c r="W724" s="141"/>
      <c r="X724" s="74"/>
      <c r="Y724" s="75"/>
      <c r="Z724" s="75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</row>
    <row r="725" spans="1:45" ht="15.75" customHeight="1">
      <c r="A725" s="20"/>
      <c r="B725" s="71"/>
      <c r="C725" s="20"/>
      <c r="D725" s="20"/>
      <c r="E725" s="20"/>
      <c r="F725" s="20"/>
      <c r="G725" s="20"/>
      <c r="H725" s="66"/>
      <c r="I725" s="66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142"/>
      <c r="W725" s="141"/>
      <c r="X725" s="74"/>
      <c r="Y725" s="75"/>
      <c r="Z725" s="75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</row>
    <row r="726" spans="1:45" ht="15.75" customHeight="1">
      <c r="A726" s="20"/>
      <c r="B726" s="71"/>
      <c r="C726" s="20"/>
      <c r="D726" s="20"/>
      <c r="E726" s="20"/>
      <c r="F726" s="20"/>
      <c r="G726" s="20"/>
      <c r="H726" s="66"/>
      <c r="I726" s="66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142"/>
      <c r="W726" s="141"/>
      <c r="X726" s="74"/>
      <c r="Y726" s="75"/>
      <c r="Z726" s="75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</row>
    <row r="727" spans="1:45" ht="15.75" customHeight="1">
      <c r="A727" s="20"/>
      <c r="B727" s="71"/>
      <c r="C727" s="20"/>
      <c r="D727" s="20"/>
      <c r="E727" s="20"/>
      <c r="F727" s="20"/>
      <c r="G727" s="20"/>
      <c r="H727" s="66"/>
      <c r="I727" s="66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142"/>
      <c r="W727" s="141"/>
      <c r="X727" s="74"/>
      <c r="Y727" s="75"/>
      <c r="Z727" s="75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</row>
    <row r="728" spans="1:45" ht="15.75" customHeight="1">
      <c r="A728" s="20"/>
      <c r="B728" s="71"/>
      <c r="C728" s="20"/>
      <c r="D728" s="20"/>
      <c r="E728" s="20"/>
      <c r="F728" s="20"/>
      <c r="G728" s="20"/>
      <c r="H728" s="66"/>
      <c r="I728" s="66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142"/>
      <c r="W728" s="141"/>
      <c r="X728" s="74"/>
      <c r="Y728" s="75"/>
      <c r="Z728" s="75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</row>
    <row r="729" spans="1:45" ht="15.75" customHeight="1">
      <c r="A729" s="20"/>
      <c r="B729" s="71"/>
      <c r="C729" s="20"/>
      <c r="D729" s="20"/>
      <c r="E729" s="20"/>
      <c r="F729" s="20"/>
      <c r="G729" s="20"/>
      <c r="H729" s="66"/>
      <c r="I729" s="66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142"/>
      <c r="W729" s="141"/>
      <c r="X729" s="74"/>
      <c r="Y729" s="75"/>
      <c r="Z729" s="75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</row>
    <row r="730" spans="1:45" ht="15.75" customHeight="1">
      <c r="A730" s="20"/>
      <c r="B730" s="71"/>
      <c r="C730" s="20"/>
      <c r="D730" s="20"/>
      <c r="E730" s="20"/>
      <c r="F730" s="20"/>
      <c r="G730" s="20"/>
      <c r="H730" s="66"/>
      <c r="I730" s="66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142"/>
      <c r="W730" s="141"/>
      <c r="X730" s="74"/>
      <c r="Y730" s="75"/>
      <c r="Z730" s="75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</row>
    <row r="731" spans="1:45" ht="15.75" customHeight="1">
      <c r="A731" s="20"/>
      <c r="B731" s="71"/>
      <c r="C731" s="20"/>
      <c r="D731" s="20"/>
      <c r="E731" s="20"/>
      <c r="F731" s="20"/>
      <c r="G731" s="20"/>
      <c r="H731" s="66"/>
      <c r="I731" s="66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142"/>
      <c r="W731" s="141"/>
      <c r="X731" s="74"/>
      <c r="Y731" s="75"/>
      <c r="Z731" s="75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</row>
    <row r="732" spans="1:45" ht="15.75" customHeight="1">
      <c r="A732" s="20"/>
      <c r="B732" s="71"/>
      <c r="C732" s="20"/>
      <c r="D732" s="20"/>
      <c r="E732" s="20"/>
      <c r="F732" s="20"/>
      <c r="G732" s="20"/>
      <c r="H732" s="66"/>
      <c r="I732" s="66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142"/>
      <c r="W732" s="141"/>
      <c r="X732" s="74"/>
      <c r="Y732" s="75"/>
      <c r="Z732" s="75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</row>
    <row r="733" spans="1:45" ht="15.75" customHeight="1">
      <c r="A733" s="20"/>
      <c r="B733" s="71"/>
      <c r="C733" s="20"/>
      <c r="D733" s="20"/>
      <c r="E733" s="20"/>
      <c r="F733" s="20"/>
      <c r="G733" s="20"/>
      <c r="H733" s="66"/>
      <c r="I733" s="66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142"/>
      <c r="W733" s="141"/>
      <c r="X733" s="74"/>
      <c r="Y733" s="75"/>
      <c r="Z733" s="75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</row>
    <row r="734" spans="1:45" ht="15.75" customHeight="1">
      <c r="A734" s="20"/>
      <c r="B734" s="71"/>
      <c r="C734" s="20"/>
      <c r="D734" s="20"/>
      <c r="E734" s="20"/>
      <c r="F734" s="20"/>
      <c r="G734" s="20"/>
      <c r="H734" s="66"/>
      <c r="I734" s="66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142"/>
      <c r="W734" s="141"/>
      <c r="X734" s="74"/>
      <c r="Y734" s="75"/>
      <c r="Z734" s="75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</row>
    <row r="735" spans="1:45" ht="15.75" customHeight="1">
      <c r="A735" s="20"/>
      <c r="B735" s="71"/>
      <c r="C735" s="20"/>
      <c r="D735" s="20"/>
      <c r="E735" s="20"/>
      <c r="F735" s="20"/>
      <c r="G735" s="20"/>
      <c r="H735" s="66"/>
      <c r="I735" s="66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142"/>
      <c r="W735" s="141"/>
      <c r="X735" s="74"/>
      <c r="Y735" s="75"/>
      <c r="Z735" s="75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</row>
    <row r="736" spans="1:45" ht="15.75" customHeight="1">
      <c r="A736" s="20"/>
      <c r="B736" s="71"/>
      <c r="C736" s="20"/>
      <c r="D736" s="20"/>
      <c r="E736" s="20"/>
      <c r="F736" s="20"/>
      <c r="G736" s="20"/>
      <c r="H736" s="66"/>
      <c r="I736" s="66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142"/>
      <c r="W736" s="141"/>
      <c r="X736" s="74"/>
      <c r="Y736" s="75"/>
      <c r="Z736" s="75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</row>
    <row r="737" spans="1:45" ht="15.75" customHeight="1">
      <c r="A737" s="20"/>
      <c r="B737" s="71"/>
      <c r="C737" s="20"/>
      <c r="D737" s="20"/>
      <c r="E737" s="20"/>
      <c r="F737" s="20"/>
      <c r="G737" s="20"/>
      <c r="H737" s="66"/>
      <c r="I737" s="66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142"/>
      <c r="W737" s="141"/>
      <c r="X737" s="74"/>
      <c r="Y737" s="75"/>
      <c r="Z737" s="75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</row>
    <row r="738" spans="1:45" ht="15.75" customHeight="1">
      <c r="A738" s="20"/>
      <c r="B738" s="71"/>
      <c r="C738" s="20"/>
      <c r="D738" s="20"/>
      <c r="E738" s="20"/>
      <c r="F738" s="20"/>
      <c r="G738" s="20"/>
      <c r="H738" s="66"/>
      <c r="I738" s="66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142"/>
      <c r="W738" s="141"/>
      <c r="X738" s="74"/>
      <c r="Y738" s="75"/>
      <c r="Z738" s="75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</row>
    <row r="739" spans="1:45" ht="15.75" customHeight="1">
      <c r="A739" s="20"/>
      <c r="B739" s="71"/>
      <c r="C739" s="20"/>
      <c r="D739" s="20"/>
      <c r="E739" s="20"/>
      <c r="F739" s="20"/>
      <c r="G739" s="20"/>
      <c r="H739" s="66"/>
      <c r="I739" s="66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142"/>
      <c r="W739" s="141"/>
      <c r="X739" s="74"/>
      <c r="Y739" s="75"/>
      <c r="Z739" s="75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</row>
    <row r="740" spans="1:45" ht="15.75" customHeight="1">
      <c r="A740" s="20"/>
      <c r="B740" s="71"/>
      <c r="C740" s="20"/>
      <c r="D740" s="20"/>
      <c r="E740" s="20"/>
      <c r="F740" s="20"/>
      <c r="G740" s="20"/>
      <c r="H740" s="66"/>
      <c r="I740" s="66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142"/>
      <c r="W740" s="141"/>
      <c r="X740" s="74"/>
      <c r="Y740" s="75"/>
      <c r="Z740" s="75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</row>
    <row r="741" spans="1:45" ht="15.75" customHeight="1">
      <c r="A741" s="20"/>
      <c r="B741" s="71"/>
      <c r="C741" s="20"/>
      <c r="D741" s="20"/>
      <c r="E741" s="20"/>
      <c r="F741" s="20"/>
      <c r="G741" s="20"/>
      <c r="H741" s="66"/>
      <c r="I741" s="66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142"/>
      <c r="W741" s="141"/>
      <c r="X741" s="74"/>
      <c r="Y741" s="75"/>
      <c r="Z741" s="75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</row>
    <row r="742" spans="1:45" ht="15.75" customHeight="1">
      <c r="A742" s="20"/>
      <c r="B742" s="71"/>
      <c r="C742" s="20"/>
      <c r="D742" s="20"/>
      <c r="E742" s="20"/>
      <c r="F742" s="20"/>
      <c r="G742" s="20"/>
      <c r="H742" s="66"/>
      <c r="I742" s="66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142"/>
      <c r="W742" s="141"/>
      <c r="X742" s="74"/>
      <c r="Y742" s="75"/>
      <c r="Z742" s="75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</row>
    <row r="743" spans="1:45" ht="15.75" customHeight="1">
      <c r="A743" s="20"/>
      <c r="B743" s="71"/>
      <c r="C743" s="20"/>
      <c r="D743" s="20"/>
      <c r="E743" s="20"/>
      <c r="F743" s="20"/>
      <c r="G743" s="20"/>
      <c r="H743" s="66"/>
      <c r="I743" s="66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142"/>
      <c r="W743" s="141"/>
      <c r="X743" s="74"/>
      <c r="Y743" s="75"/>
      <c r="Z743" s="75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</row>
    <row r="744" spans="1:45" ht="15.75" customHeight="1">
      <c r="A744" s="20"/>
      <c r="B744" s="71"/>
      <c r="C744" s="20"/>
      <c r="D744" s="20"/>
      <c r="E744" s="20"/>
      <c r="F744" s="20"/>
      <c r="G744" s="20"/>
      <c r="H744" s="66"/>
      <c r="I744" s="66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142"/>
      <c r="W744" s="141"/>
      <c r="X744" s="74"/>
      <c r="Y744" s="75"/>
      <c r="Z744" s="75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</row>
    <row r="745" spans="1:45" ht="15.75" customHeight="1">
      <c r="A745" s="20"/>
      <c r="B745" s="71"/>
      <c r="C745" s="20"/>
      <c r="D745" s="20"/>
      <c r="E745" s="20"/>
      <c r="F745" s="20"/>
      <c r="G745" s="20"/>
      <c r="H745" s="66"/>
      <c r="I745" s="66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142"/>
      <c r="W745" s="141"/>
      <c r="X745" s="74"/>
      <c r="Y745" s="75"/>
      <c r="Z745" s="75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</row>
    <row r="746" spans="1:45" ht="15.75" customHeight="1">
      <c r="A746" s="20"/>
      <c r="B746" s="71"/>
      <c r="C746" s="20"/>
      <c r="D746" s="20"/>
      <c r="E746" s="20"/>
      <c r="F746" s="20"/>
      <c r="G746" s="20"/>
      <c r="H746" s="66"/>
      <c r="I746" s="66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142"/>
      <c r="W746" s="141"/>
      <c r="X746" s="74"/>
      <c r="Y746" s="75"/>
      <c r="Z746" s="75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</row>
    <row r="747" spans="1:45" ht="15.75" customHeight="1">
      <c r="A747" s="20"/>
      <c r="B747" s="71"/>
      <c r="C747" s="20"/>
      <c r="D747" s="20"/>
      <c r="E747" s="20"/>
      <c r="F747" s="20"/>
      <c r="G747" s="20"/>
      <c r="H747" s="66"/>
      <c r="I747" s="66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142"/>
      <c r="W747" s="141"/>
      <c r="X747" s="74"/>
      <c r="Y747" s="75"/>
      <c r="Z747" s="75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</row>
    <row r="748" spans="1:45" ht="15.75" customHeight="1">
      <c r="A748" s="20"/>
      <c r="B748" s="71"/>
      <c r="C748" s="20"/>
      <c r="D748" s="20"/>
      <c r="E748" s="20"/>
      <c r="F748" s="20"/>
      <c r="G748" s="20"/>
      <c r="H748" s="66"/>
      <c r="I748" s="66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142"/>
      <c r="W748" s="141"/>
      <c r="X748" s="74"/>
      <c r="Y748" s="75"/>
      <c r="Z748" s="75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</row>
    <row r="749" spans="1:45" ht="15.75" customHeight="1">
      <c r="A749" s="20"/>
      <c r="B749" s="71"/>
      <c r="C749" s="20"/>
      <c r="D749" s="20"/>
      <c r="E749" s="20"/>
      <c r="F749" s="20"/>
      <c r="G749" s="20"/>
      <c r="H749" s="66"/>
      <c r="I749" s="66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142"/>
      <c r="W749" s="141"/>
      <c r="X749" s="74"/>
      <c r="Y749" s="75"/>
      <c r="Z749" s="75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</row>
    <row r="750" spans="1:45" ht="15.75" customHeight="1">
      <c r="A750" s="20"/>
      <c r="B750" s="71"/>
      <c r="C750" s="20"/>
      <c r="D750" s="20"/>
      <c r="E750" s="20"/>
      <c r="F750" s="20"/>
      <c r="G750" s="20"/>
      <c r="H750" s="66"/>
      <c r="I750" s="66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142"/>
      <c r="W750" s="141"/>
      <c r="X750" s="74"/>
      <c r="Y750" s="75"/>
      <c r="Z750" s="75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</row>
    <row r="751" spans="1:45" ht="15.75" customHeight="1">
      <c r="A751" s="20"/>
      <c r="B751" s="71"/>
      <c r="C751" s="20"/>
      <c r="D751" s="20"/>
      <c r="E751" s="20"/>
      <c r="F751" s="20"/>
      <c r="G751" s="20"/>
      <c r="H751" s="66"/>
      <c r="I751" s="66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142"/>
      <c r="W751" s="141"/>
      <c r="X751" s="74"/>
      <c r="Y751" s="75"/>
      <c r="Z751" s="75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</row>
    <row r="752" spans="1:45" ht="15.75" customHeight="1">
      <c r="A752" s="20"/>
      <c r="B752" s="71"/>
      <c r="C752" s="20"/>
      <c r="D752" s="20"/>
      <c r="E752" s="20"/>
      <c r="F752" s="20"/>
      <c r="G752" s="20"/>
      <c r="H752" s="66"/>
      <c r="I752" s="66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142"/>
      <c r="W752" s="141"/>
      <c r="X752" s="74"/>
      <c r="Y752" s="75"/>
      <c r="Z752" s="75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</row>
    <row r="753" spans="1:45" ht="15.75" customHeight="1">
      <c r="A753" s="20"/>
      <c r="B753" s="71"/>
      <c r="C753" s="20"/>
      <c r="D753" s="20"/>
      <c r="E753" s="20"/>
      <c r="F753" s="20"/>
      <c r="G753" s="20"/>
      <c r="H753" s="66"/>
      <c r="I753" s="66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142"/>
      <c r="W753" s="141"/>
      <c r="X753" s="74"/>
      <c r="Y753" s="75"/>
      <c r="Z753" s="75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</row>
    <row r="754" spans="1:45" ht="15.75" customHeight="1">
      <c r="A754" s="20"/>
      <c r="B754" s="71"/>
      <c r="C754" s="20"/>
      <c r="D754" s="20"/>
      <c r="E754" s="20"/>
      <c r="F754" s="20"/>
      <c r="G754" s="20"/>
      <c r="H754" s="66"/>
      <c r="I754" s="66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142"/>
      <c r="W754" s="141"/>
      <c r="X754" s="74"/>
      <c r="Y754" s="75"/>
      <c r="Z754" s="75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</row>
    <row r="755" spans="1:45" ht="15.75" customHeight="1">
      <c r="A755" s="20"/>
      <c r="B755" s="71"/>
      <c r="C755" s="20"/>
      <c r="D755" s="20"/>
      <c r="E755" s="20"/>
      <c r="F755" s="20"/>
      <c r="G755" s="20"/>
      <c r="H755" s="66"/>
      <c r="I755" s="66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142"/>
      <c r="W755" s="141"/>
      <c r="X755" s="74"/>
      <c r="Y755" s="75"/>
      <c r="Z755" s="75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</row>
    <row r="756" spans="1:45" ht="15.75" customHeight="1">
      <c r="A756" s="20"/>
      <c r="B756" s="71"/>
      <c r="C756" s="20"/>
      <c r="D756" s="20"/>
      <c r="E756" s="20"/>
      <c r="F756" s="20"/>
      <c r="G756" s="20"/>
      <c r="H756" s="66"/>
      <c r="I756" s="66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142"/>
      <c r="W756" s="141"/>
      <c r="X756" s="74"/>
      <c r="Y756" s="75"/>
      <c r="Z756" s="75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</row>
    <row r="757" spans="1:45" ht="15.75" customHeight="1">
      <c r="A757" s="20"/>
      <c r="B757" s="71"/>
      <c r="C757" s="20"/>
      <c r="D757" s="20"/>
      <c r="E757" s="20"/>
      <c r="F757" s="20"/>
      <c r="G757" s="20"/>
      <c r="H757" s="66"/>
      <c r="I757" s="66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142"/>
      <c r="W757" s="141"/>
      <c r="X757" s="74"/>
      <c r="Y757" s="75"/>
      <c r="Z757" s="75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</row>
    <row r="758" spans="1:45" ht="15.75" customHeight="1">
      <c r="A758" s="20"/>
      <c r="B758" s="71"/>
      <c r="C758" s="20"/>
      <c r="D758" s="20"/>
      <c r="E758" s="20"/>
      <c r="F758" s="20"/>
      <c r="G758" s="20"/>
      <c r="H758" s="66"/>
      <c r="I758" s="66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142"/>
      <c r="W758" s="141"/>
      <c r="X758" s="74"/>
      <c r="Y758" s="75"/>
      <c r="Z758" s="75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</row>
    <row r="759" spans="1:45" ht="15.75" customHeight="1">
      <c r="A759" s="20"/>
      <c r="B759" s="71"/>
      <c r="C759" s="20"/>
      <c r="D759" s="20"/>
      <c r="E759" s="20"/>
      <c r="F759" s="20"/>
      <c r="G759" s="20"/>
      <c r="H759" s="66"/>
      <c r="I759" s="66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142"/>
      <c r="W759" s="141"/>
      <c r="X759" s="74"/>
      <c r="Y759" s="75"/>
      <c r="Z759" s="75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</row>
    <row r="760" spans="1:45" ht="15.75" customHeight="1">
      <c r="A760" s="20"/>
      <c r="B760" s="71"/>
      <c r="C760" s="20"/>
      <c r="D760" s="20"/>
      <c r="E760" s="20"/>
      <c r="F760" s="20"/>
      <c r="G760" s="20"/>
      <c r="H760" s="66"/>
      <c r="I760" s="66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142"/>
      <c r="W760" s="141"/>
      <c r="X760" s="74"/>
      <c r="Y760" s="75"/>
      <c r="Z760" s="75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</row>
    <row r="761" spans="1:45" ht="15.75" customHeight="1">
      <c r="A761" s="20"/>
      <c r="B761" s="71"/>
      <c r="C761" s="20"/>
      <c r="D761" s="20"/>
      <c r="E761" s="20"/>
      <c r="F761" s="20"/>
      <c r="G761" s="20"/>
      <c r="H761" s="66"/>
      <c r="I761" s="66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142"/>
      <c r="W761" s="141"/>
      <c r="X761" s="74"/>
      <c r="Y761" s="75"/>
      <c r="Z761" s="75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</row>
    <row r="762" spans="1:45" ht="15.75" customHeight="1">
      <c r="A762" s="20"/>
      <c r="B762" s="71"/>
      <c r="C762" s="20"/>
      <c r="D762" s="20"/>
      <c r="E762" s="20"/>
      <c r="F762" s="20"/>
      <c r="G762" s="20"/>
      <c r="H762" s="66"/>
      <c r="I762" s="66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142"/>
      <c r="W762" s="141"/>
      <c r="X762" s="74"/>
      <c r="Y762" s="75"/>
      <c r="Z762" s="75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</row>
    <row r="763" spans="1:45" ht="15.75" customHeight="1">
      <c r="A763" s="20"/>
      <c r="B763" s="71"/>
      <c r="C763" s="20"/>
      <c r="D763" s="20"/>
      <c r="E763" s="20"/>
      <c r="F763" s="20"/>
      <c r="G763" s="20"/>
      <c r="H763" s="66"/>
      <c r="I763" s="66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142"/>
      <c r="W763" s="141"/>
      <c r="X763" s="74"/>
      <c r="Y763" s="75"/>
      <c r="Z763" s="75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</row>
    <row r="764" spans="1:45" ht="15.75" customHeight="1">
      <c r="A764" s="20"/>
      <c r="B764" s="71"/>
      <c r="C764" s="20"/>
      <c r="D764" s="20"/>
      <c r="E764" s="20"/>
      <c r="F764" s="20"/>
      <c r="G764" s="20"/>
      <c r="H764" s="66"/>
      <c r="I764" s="66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142"/>
      <c r="W764" s="141"/>
      <c r="X764" s="74"/>
      <c r="Y764" s="75"/>
      <c r="Z764" s="75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</row>
    <row r="765" spans="1:45" ht="15.75" customHeight="1">
      <c r="A765" s="20"/>
      <c r="B765" s="71"/>
      <c r="C765" s="20"/>
      <c r="D765" s="20"/>
      <c r="E765" s="20"/>
      <c r="F765" s="20"/>
      <c r="G765" s="20"/>
      <c r="H765" s="66"/>
      <c r="I765" s="66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142"/>
      <c r="W765" s="141"/>
      <c r="X765" s="74"/>
      <c r="Y765" s="75"/>
      <c r="Z765" s="75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</row>
    <row r="766" spans="1:45" ht="15.75" customHeight="1">
      <c r="A766" s="20"/>
      <c r="B766" s="71"/>
      <c r="C766" s="20"/>
      <c r="D766" s="20"/>
      <c r="E766" s="20"/>
      <c r="F766" s="20"/>
      <c r="G766" s="20"/>
      <c r="H766" s="66"/>
      <c r="I766" s="66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142"/>
      <c r="W766" s="141"/>
      <c r="X766" s="74"/>
      <c r="Y766" s="75"/>
      <c r="Z766" s="75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</row>
    <row r="767" spans="1:45" ht="15.75" customHeight="1">
      <c r="A767" s="20"/>
      <c r="B767" s="71"/>
      <c r="C767" s="20"/>
      <c r="D767" s="20"/>
      <c r="E767" s="20"/>
      <c r="F767" s="20"/>
      <c r="G767" s="20"/>
      <c r="H767" s="66"/>
      <c r="I767" s="66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142"/>
      <c r="W767" s="141"/>
      <c r="X767" s="74"/>
      <c r="Y767" s="75"/>
      <c r="Z767" s="75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</row>
    <row r="768" spans="1:45" ht="15.75" customHeight="1">
      <c r="A768" s="20"/>
      <c r="B768" s="71"/>
      <c r="C768" s="20"/>
      <c r="D768" s="20"/>
      <c r="E768" s="20"/>
      <c r="F768" s="20"/>
      <c r="G768" s="20"/>
      <c r="H768" s="66"/>
      <c r="I768" s="66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142"/>
      <c r="W768" s="141"/>
      <c r="X768" s="74"/>
      <c r="Y768" s="75"/>
      <c r="Z768" s="75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</row>
    <row r="769" spans="1:45" ht="15.75" customHeight="1">
      <c r="A769" s="20"/>
      <c r="B769" s="71"/>
      <c r="C769" s="20"/>
      <c r="D769" s="20"/>
      <c r="E769" s="20"/>
      <c r="F769" s="20"/>
      <c r="G769" s="20"/>
      <c r="H769" s="66"/>
      <c r="I769" s="66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142"/>
      <c r="W769" s="141"/>
      <c r="X769" s="74"/>
      <c r="Y769" s="75"/>
      <c r="Z769" s="75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</row>
    <row r="770" spans="1:45" ht="15.75" customHeight="1">
      <c r="A770" s="20"/>
      <c r="B770" s="71"/>
      <c r="C770" s="20"/>
      <c r="D770" s="20"/>
      <c r="E770" s="20"/>
      <c r="F770" s="20"/>
      <c r="G770" s="20"/>
      <c r="H770" s="66"/>
      <c r="I770" s="66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142"/>
      <c r="W770" s="141"/>
      <c r="X770" s="74"/>
      <c r="Y770" s="75"/>
      <c r="Z770" s="75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</row>
    <row r="771" spans="1:45" ht="15.75" customHeight="1">
      <c r="A771" s="20"/>
      <c r="B771" s="71"/>
      <c r="C771" s="20"/>
      <c r="D771" s="20"/>
      <c r="E771" s="20"/>
      <c r="F771" s="20"/>
      <c r="G771" s="20"/>
      <c r="H771" s="66"/>
      <c r="I771" s="66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142"/>
      <c r="W771" s="141"/>
      <c r="X771" s="74"/>
      <c r="Y771" s="75"/>
      <c r="Z771" s="75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</row>
    <row r="772" spans="1:45" ht="15.75" customHeight="1">
      <c r="A772" s="20"/>
      <c r="B772" s="71"/>
      <c r="C772" s="20"/>
      <c r="D772" s="20"/>
      <c r="E772" s="20"/>
      <c r="F772" s="20"/>
      <c r="G772" s="20"/>
      <c r="H772" s="66"/>
      <c r="I772" s="66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142"/>
      <c r="W772" s="141"/>
      <c r="X772" s="74"/>
      <c r="Y772" s="75"/>
      <c r="Z772" s="75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</row>
    <row r="773" spans="1:45" ht="15.75" customHeight="1">
      <c r="A773" s="20"/>
      <c r="B773" s="71"/>
      <c r="C773" s="20"/>
      <c r="D773" s="20"/>
      <c r="E773" s="20"/>
      <c r="F773" s="20"/>
      <c r="G773" s="20"/>
      <c r="H773" s="66"/>
      <c r="I773" s="66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142"/>
      <c r="W773" s="141"/>
      <c r="X773" s="74"/>
      <c r="Y773" s="75"/>
      <c r="Z773" s="75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</row>
    <row r="774" spans="1:45" ht="15.75" customHeight="1">
      <c r="A774" s="20"/>
      <c r="B774" s="71"/>
      <c r="C774" s="20"/>
      <c r="D774" s="20"/>
      <c r="E774" s="20"/>
      <c r="F774" s="20"/>
      <c r="G774" s="20"/>
      <c r="H774" s="66"/>
      <c r="I774" s="66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142"/>
      <c r="W774" s="141"/>
      <c r="X774" s="74"/>
      <c r="Y774" s="75"/>
      <c r="Z774" s="75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</row>
    <row r="775" spans="1:45" ht="15.75" customHeight="1">
      <c r="A775" s="20"/>
      <c r="B775" s="71"/>
      <c r="C775" s="20"/>
      <c r="D775" s="20"/>
      <c r="E775" s="20"/>
      <c r="F775" s="20"/>
      <c r="G775" s="20"/>
      <c r="H775" s="66"/>
      <c r="I775" s="66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142"/>
      <c r="W775" s="141"/>
      <c r="X775" s="74"/>
      <c r="Y775" s="75"/>
      <c r="Z775" s="75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</row>
    <row r="776" spans="1:45" ht="15.75" customHeight="1">
      <c r="A776" s="20"/>
      <c r="B776" s="71"/>
      <c r="C776" s="20"/>
      <c r="D776" s="20"/>
      <c r="E776" s="20"/>
      <c r="F776" s="20"/>
      <c r="G776" s="20"/>
      <c r="H776" s="66"/>
      <c r="I776" s="66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142"/>
      <c r="W776" s="141"/>
      <c r="X776" s="74"/>
      <c r="Y776" s="75"/>
      <c r="Z776" s="75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</row>
    <row r="777" spans="1:45" ht="15.75" customHeight="1">
      <c r="A777" s="20"/>
      <c r="B777" s="71"/>
      <c r="C777" s="20"/>
      <c r="D777" s="20"/>
      <c r="E777" s="20"/>
      <c r="F777" s="20"/>
      <c r="G777" s="20"/>
      <c r="H777" s="66"/>
      <c r="I777" s="66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142"/>
      <c r="W777" s="141"/>
      <c r="X777" s="74"/>
      <c r="Y777" s="75"/>
      <c r="Z777" s="75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</row>
    <row r="778" spans="1:45" ht="15.75" customHeight="1">
      <c r="A778" s="20"/>
      <c r="B778" s="71"/>
      <c r="C778" s="20"/>
      <c r="D778" s="20"/>
      <c r="E778" s="20"/>
      <c r="F778" s="20"/>
      <c r="G778" s="20"/>
      <c r="H778" s="66"/>
      <c r="I778" s="66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142"/>
      <c r="W778" s="141"/>
      <c r="X778" s="74"/>
      <c r="Y778" s="75"/>
      <c r="Z778" s="75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</row>
    <row r="779" spans="1:45" ht="15.75" customHeight="1">
      <c r="A779" s="20"/>
      <c r="B779" s="71"/>
      <c r="C779" s="20"/>
      <c r="D779" s="20"/>
      <c r="E779" s="20"/>
      <c r="F779" s="20"/>
      <c r="G779" s="20"/>
      <c r="H779" s="66"/>
      <c r="I779" s="66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142"/>
      <c r="W779" s="141"/>
      <c r="X779" s="74"/>
      <c r="Y779" s="75"/>
      <c r="Z779" s="75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</row>
    <row r="780" spans="1:45" ht="15.75" customHeight="1">
      <c r="A780" s="20"/>
      <c r="B780" s="71"/>
      <c r="C780" s="20"/>
      <c r="D780" s="20"/>
      <c r="E780" s="20"/>
      <c r="F780" s="20"/>
      <c r="G780" s="20"/>
      <c r="H780" s="66"/>
      <c r="I780" s="66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142"/>
      <c r="W780" s="141"/>
      <c r="X780" s="74"/>
      <c r="Y780" s="75"/>
      <c r="Z780" s="75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</row>
    <row r="781" spans="1:45" ht="15.75" customHeight="1">
      <c r="A781" s="20"/>
      <c r="B781" s="71"/>
      <c r="C781" s="20"/>
      <c r="D781" s="20"/>
      <c r="E781" s="20"/>
      <c r="F781" s="20"/>
      <c r="G781" s="20"/>
      <c r="H781" s="66"/>
      <c r="I781" s="66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142"/>
      <c r="W781" s="141"/>
      <c r="X781" s="74"/>
      <c r="Y781" s="75"/>
      <c r="Z781" s="75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</row>
    <row r="782" spans="1:45" ht="15.75" customHeight="1">
      <c r="A782" s="20"/>
      <c r="B782" s="71"/>
      <c r="C782" s="20"/>
      <c r="D782" s="20"/>
      <c r="E782" s="20"/>
      <c r="F782" s="20"/>
      <c r="G782" s="20"/>
      <c r="H782" s="66"/>
      <c r="I782" s="66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142"/>
      <c r="W782" s="141"/>
      <c r="X782" s="74"/>
      <c r="Y782" s="75"/>
      <c r="Z782" s="75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</row>
    <row r="783" spans="1:45" ht="15.75" customHeight="1">
      <c r="A783" s="20"/>
      <c r="B783" s="71"/>
      <c r="C783" s="20"/>
      <c r="D783" s="20"/>
      <c r="E783" s="20"/>
      <c r="F783" s="20"/>
      <c r="G783" s="20"/>
      <c r="H783" s="66"/>
      <c r="I783" s="66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142"/>
      <c r="W783" s="141"/>
      <c r="X783" s="74"/>
      <c r="Y783" s="75"/>
      <c r="Z783" s="75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</row>
    <row r="784" spans="1:45" ht="15.75" customHeight="1">
      <c r="A784" s="20"/>
      <c r="B784" s="71"/>
      <c r="C784" s="20"/>
      <c r="D784" s="20"/>
      <c r="E784" s="20"/>
      <c r="F784" s="20"/>
      <c r="G784" s="20"/>
      <c r="H784" s="66"/>
      <c r="I784" s="66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142"/>
      <c r="W784" s="141"/>
      <c r="X784" s="74"/>
      <c r="Y784" s="75"/>
      <c r="Z784" s="75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</row>
    <row r="785" spans="1:45" ht="15.75" customHeight="1">
      <c r="A785" s="20"/>
      <c r="B785" s="71"/>
      <c r="C785" s="20"/>
      <c r="D785" s="20"/>
      <c r="E785" s="20"/>
      <c r="F785" s="20"/>
      <c r="G785" s="20"/>
      <c r="H785" s="66"/>
      <c r="I785" s="66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142"/>
      <c r="W785" s="141"/>
      <c r="X785" s="74"/>
      <c r="Y785" s="75"/>
      <c r="Z785" s="75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</row>
    <row r="786" spans="1:45" ht="15.75" customHeight="1">
      <c r="A786" s="20"/>
      <c r="B786" s="71"/>
      <c r="C786" s="20"/>
      <c r="D786" s="20"/>
      <c r="E786" s="20"/>
      <c r="F786" s="20"/>
      <c r="G786" s="20"/>
      <c r="H786" s="66"/>
      <c r="I786" s="66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142"/>
      <c r="W786" s="141"/>
      <c r="X786" s="74"/>
      <c r="Y786" s="75"/>
      <c r="Z786" s="75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</row>
    <row r="787" spans="1:45" ht="15.75" customHeight="1">
      <c r="A787" s="20"/>
      <c r="B787" s="71"/>
      <c r="C787" s="20"/>
      <c r="D787" s="20"/>
      <c r="E787" s="20"/>
      <c r="F787" s="20"/>
      <c r="G787" s="20"/>
      <c r="H787" s="66"/>
      <c r="I787" s="66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142"/>
      <c r="W787" s="141"/>
      <c r="X787" s="74"/>
      <c r="Y787" s="75"/>
      <c r="Z787" s="75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</row>
    <row r="788" spans="1:45" ht="15.75" customHeight="1">
      <c r="A788" s="20"/>
      <c r="B788" s="71"/>
      <c r="C788" s="20"/>
      <c r="D788" s="20"/>
      <c r="E788" s="20"/>
      <c r="F788" s="20"/>
      <c r="G788" s="20"/>
      <c r="H788" s="66"/>
      <c r="I788" s="66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142"/>
      <c r="W788" s="141"/>
      <c r="X788" s="74"/>
      <c r="Y788" s="75"/>
      <c r="Z788" s="75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</row>
    <row r="789" spans="1:45" ht="15.75" customHeight="1">
      <c r="A789" s="20"/>
      <c r="B789" s="71"/>
      <c r="C789" s="20"/>
      <c r="D789" s="20"/>
      <c r="E789" s="20"/>
      <c r="F789" s="20"/>
      <c r="G789" s="20"/>
      <c r="H789" s="66"/>
      <c r="I789" s="66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142"/>
      <c r="W789" s="141"/>
      <c r="X789" s="74"/>
      <c r="Y789" s="75"/>
      <c r="Z789" s="75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</row>
    <row r="790" spans="1:45" ht="15.75" customHeight="1">
      <c r="A790" s="20"/>
      <c r="B790" s="71"/>
      <c r="C790" s="20"/>
      <c r="D790" s="20"/>
      <c r="E790" s="20"/>
      <c r="F790" s="20"/>
      <c r="G790" s="20"/>
      <c r="H790" s="66"/>
      <c r="I790" s="66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142"/>
      <c r="W790" s="141"/>
      <c r="X790" s="74"/>
      <c r="Y790" s="75"/>
      <c r="Z790" s="75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</row>
    <row r="791" spans="1:45" ht="15.75" customHeight="1">
      <c r="A791" s="20"/>
      <c r="B791" s="71"/>
      <c r="C791" s="20"/>
      <c r="D791" s="20"/>
      <c r="E791" s="20"/>
      <c r="F791" s="20"/>
      <c r="G791" s="20"/>
      <c r="H791" s="66"/>
      <c r="I791" s="66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142"/>
      <c r="W791" s="141"/>
      <c r="X791" s="74"/>
      <c r="Y791" s="75"/>
      <c r="Z791" s="75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</row>
    <row r="792" spans="1:45" ht="15.75" customHeight="1">
      <c r="A792" s="20"/>
      <c r="B792" s="71"/>
      <c r="C792" s="20"/>
      <c r="D792" s="20"/>
      <c r="E792" s="20"/>
      <c r="F792" s="20"/>
      <c r="G792" s="20"/>
      <c r="H792" s="66"/>
      <c r="I792" s="66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142"/>
      <c r="W792" s="141"/>
      <c r="X792" s="74"/>
      <c r="Y792" s="75"/>
      <c r="Z792" s="75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</row>
    <row r="793" spans="1:45" ht="15.75" customHeight="1">
      <c r="A793" s="20"/>
      <c r="B793" s="71"/>
      <c r="C793" s="20"/>
      <c r="D793" s="20"/>
      <c r="E793" s="20"/>
      <c r="F793" s="20"/>
      <c r="G793" s="20"/>
      <c r="H793" s="66"/>
      <c r="I793" s="66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142"/>
      <c r="W793" s="141"/>
      <c r="X793" s="74"/>
      <c r="Y793" s="75"/>
      <c r="Z793" s="75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</row>
    <row r="794" spans="1:45" ht="15.75" customHeight="1">
      <c r="A794" s="20"/>
      <c r="B794" s="71"/>
      <c r="C794" s="20"/>
      <c r="D794" s="20"/>
      <c r="E794" s="20"/>
      <c r="F794" s="20"/>
      <c r="G794" s="20"/>
      <c r="H794" s="66"/>
      <c r="I794" s="66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142"/>
      <c r="W794" s="141"/>
      <c r="X794" s="74"/>
      <c r="Y794" s="75"/>
      <c r="Z794" s="75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</row>
    <row r="795" spans="1:45" ht="15.75" customHeight="1">
      <c r="A795" s="20"/>
      <c r="B795" s="71"/>
      <c r="C795" s="20"/>
      <c r="D795" s="20"/>
      <c r="E795" s="20"/>
      <c r="F795" s="20"/>
      <c r="G795" s="20"/>
      <c r="H795" s="66"/>
      <c r="I795" s="66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142"/>
      <c r="W795" s="141"/>
      <c r="X795" s="74"/>
      <c r="Y795" s="75"/>
      <c r="Z795" s="75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</row>
    <row r="796" spans="1:45" ht="15.75" customHeight="1">
      <c r="A796" s="20"/>
      <c r="B796" s="71"/>
      <c r="C796" s="20"/>
      <c r="D796" s="20"/>
      <c r="E796" s="20"/>
      <c r="F796" s="20"/>
      <c r="G796" s="20"/>
      <c r="H796" s="66"/>
      <c r="I796" s="66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142"/>
      <c r="W796" s="141"/>
      <c r="X796" s="74"/>
      <c r="Y796" s="75"/>
      <c r="Z796" s="75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</row>
    <row r="797" spans="1:45" ht="15.75" customHeight="1">
      <c r="A797" s="20"/>
      <c r="B797" s="71"/>
      <c r="C797" s="20"/>
      <c r="D797" s="20"/>
      <c r="E797" s="20"/>
      <c r="F797" s="20"/>
      <c r="G797" s="20"/>
      <c r="H797" s="66"/>
      <c r="I797" s="66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142"/>
      <c r="W797" s="141"/>
      <c r="X797" s="74"/>
      <c r="Y797" s="75"/>
      <c r="Z797" s="75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</row>
    <row r="798" spans="1:45" ht="15.75" customHeight="1">
      <c r="A798" s="20"/>
      <c r="B798" s="71"/>
      <c r="C798" s="20"/>
      <c r="D798" s="20"/>
      <c r="E798" s="20"/>
      <c r="F798" s="20"/>
      <c r="G798" s="20"/>
      <c r="H798" s="66"/>
      <c r="I798" s="66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142"/>
      <c r="W798" s="141"/>
      <c r="X798" s="74"/>
      <c r="Y798" s="75"/>
      <c r="Z798" s="75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</row>
    <row r="799" spans="1:45" ht="15.75" customHeight="1">
      <c r="A799" s="20"/>
      <c r="B799" s="71"/>
      <c r="C799" s="20"/>
      <c r="D799" s="20"/>
      <c r="E799" s="20"/>
      <c r="F799" s="20"/>
      <c r="G799" s="20"/>
      <c r="H799" s="66"/>
      <c r="I799" s="66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142"/>
      <c r="W799" s="141"/>
      <c r="X799" s="74"/>
      <c r="Y799" s="75"/>
      <c r="Z799" s="75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</row>
    <row r="800" spans="1:45" ht="15.75" customHeight="1">
      <c r="A800" s="20"/>
      <c r="B800" s="71"/>
      <c r="C800" s="20"/>
      <c r="D800" s="20"/>
      <c r="E800" s="20"/>
      <c r="F800" s="20"/>
      <c r="G800" s="20"/>
      <c r="H800" s="66"/>
      <c r="I800" s="66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142"/>
      <c r="W800" s="141"/>
      <c r="X800" s="74"/>
      <c r="Y800" s="75"/>
      <c r="Z800" s="75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</row>
    <row r="801" spans="1:45" ht="15.75" customHeight="1">
      <c r="A801" s="20"/>
      <c r="B801" s="71"/>
      <c r="C801" s="20"/>
      <c r="D801" s="20"/>
      <c r="E801" s="20"/>
      <c r="F801" s="20"/>
      <c r="G801" s="20"/>
      <c r="H801" s="66"/>
      <c r="I801" s="66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142"/>
      <c r="W801" s="141"/>
      <c r="X801" s="74"/>
      <c r="Y801" s="75"/>
      <c r="Z801" s="75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</row>
    <row r="802" spans="1:45" ht="15.75" customHeight="1">
      <c r="A802" s="20"/>
      <c r="B802" s="71"/>
      <c r="C802" s="20"/>
      <c r="D802" s="20"/>
      <c r="E802" s="20"/>
      <c r="F802" s="20"/>
      <c r="G802" s="20"/>
      <c r="H802" s="66"/>
      <c r="I802" s="66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142"/>
      <c r="W802" s="141"/>
      <c r="X802" s="74"/>
      <c r="Y802" s="75"/>
      <c r="Z802" s="75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</row>
    <row r="803" spans="1:45" ht="15.75" customHeight="1">
      <c r="A803" s="20"/>
      <c r="B803" s="71"/>
      <c r="C803" s="20"/>
      <c r="D803" s="20"/>
      <c r="E803" s="20"/>
      <c r="F803" s="20"/>
      <c r="G803" s="20"/>
      <c r="H803" s="66"/>
      <c r="I803" s="66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142"/>
      <c r="W803" s="141"/>
      <c r="X803" s="74"/>
      <c r="Y803" s="75"/>
      <c r="Z803" s="75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</row>
    <row r="804" spans="1:45" ht="15.75" customHeight="1">
      <c r="A804" s="20"/>
      <c r="B804" s="71"/>
      <c r="C804" s="20"/>
      <c r="D804" s="20"/>
      <c r="E804" s="20"/>
      <c r="F804" s="20"/>
      <c r="G804" s="20"/>
      <c r="H804" s="66"/>
      <c r="I804" s="66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142"/>
      <c r="W804" s="141"/>
      <c r="X804" s="74"/>
      <c r="Y804" s="75"/>
      <c r="Z804" s="75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</row>
    <row r="805" spans="1:45" ht="15.75" customHeight="1">
      <c r="A805" s="20"/>
      <c r="B805" s="71"/>
      <c r="C805" s="20"/>
      <c r="D805" s="20"/>
      <c r="E805" s="20"/>
      <c r="F805" s="20"/>
      <c r="G805" s="20"/>
      <c r="H805" s="66"/>
      <c r="I805" s="66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142"/>
      <c r="W805" s="141"/>
      <c r="X805" s="74"/>
      <c r="Y805" s="75"/>
      <c r="Z805" s="75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</row>
    <row r="806" spans="1:45" ht="15.75" customHeight="1">
      <c r="A806" s="20"/>
      <c r="B806" s="71"/>
      <c r="C806" s="20"/>
      <c r="D806" s="20"/>
      <c r="E806" s="20"/>
      <c r="F806" s="20"/>
      <c r="G806" s="20"/>
      <c r="H806" s="66"/>
      <c r="I806" s="66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142"/>
      <c r="W806" s="141"/>
      <c r="X806" s="74"/>
      <c r="Y806" s="75"/>
      <c r="Z806" s="75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</row>
    <row r="807" spans="1:45" ht="15.75" customHeight="1">
      <c r="A807" s="20"/>
      <c r="B807" s="71"/>
      <c r="C807" s="20"/>
      <c r="D807" s="20"/>
      <c r="E807" s="20"/>
      <c r="F807" s="20"/>
      <c r="G807" s="20"/>
      <c r="H807" s="66"/>
      <c r="I807" s="66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142"/>
      <c r="W807" s="141"/>
      <c r="X807" s="74"/>
      <c r="Y807" s="75"/>
      <c r="Z807" s="75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</row>
    <row r="808" spans="1:45" ht="15.75" customHeight="1">
      <c r="A808" s="20"/>
      <c r="B808" s="71"/>
      <c r="C808" s="20"/>
      <c r="D808" s="20"/>
      <c r="E808" s="20"/>
      <c r="F808" s="20"/>
      <c r="G808" s="20"/>
      <c r="H808" s="66"/>
      <c r="I808" s="66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142"/>
      <c r="W808" s="141"/>
      <c r="X808" s="74"/>
      <c r="Y808" s="75"/>
      <c r="Z808" s="75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</row>
    <row r="809" spans="1:45" ht="15.75" customHeight="1">
      <c r="A809" s="20"/>
      <c r="B809" s="71"/>
      <c r="C809" s="20"/>
      <c r="D809" s="20"/>
      <c r="E809" s="20"/>
      <c r="F809" s="20"/>
      <c r="G809" s="20"/>
      <c r="H809" s="66"/>
      <c r="I809" s="66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142"/>
      <c r="W809" s="141"/>
      <c r="X809" s="74"/>
      <c r="Y809" s="75"/>
      <c r="Z809" s="75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</row>
    <row r="810" spans="1:45" ht="15.75" customHeight="1">
      <c r="A810" s="20"/>
      <c r="B810" s="71"/>
      <c r="C810" s="20"/>
      <c r="D810" s="20"/>
      <c r="E810" s="20"/>
      <c r="F810" s="20"/>
      <c r="G810" s="20"/>
      <c r="H810" s="66"/>
      <c r="I810" s="66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142"/>
      <c r="W810" s="141"/>
      <c r="X810" s="74"/>
      <c r="Y810" s="75"/>
      <c r="Z810" s="75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</row>
    <row r="811" spans="1:45" ht="15.75" customHeight="1">
      <c r="A811" s="20"/>
      <c r="B811" s="71"/>
      <c r="C811" s="20"/>
      <c r="D811" s="20"/>
      <c r="E811" s="20"/>
      <c r="F811" s="20"/>
      <c r="G811" s="20"/>
      <c r="H811" s="66"/>
      <c r="I811" s="66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142"/>
      <c r="W811" s="141"/>
      <c r="X811" s="74"/>
      <c r="Y811" s="75"/>
      <c r="Z811" s="75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</row>
    <row r="812" spans="1:45" ht="15.75" customHeight="1">
      <c r="A812" s="20"/>
      <c r="B812" s="71"/>
      <c r="C812" s="20"/>
      <c r="D812" s="20"/>
      <c r="E812" s="20"/>
      <c r="F812" s="20"/>
      <c r="G812" s="20"/>
      <c r="H812" s="66"/>
      <c r="I812" s="66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142"/>
      <c r="W812" s="141"/>
      <c r="X812" s="74"/>
      <c r="Y812" s="75"/>
      <c r="Z812" s="75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</row>
    <row r="813" spans="1:45" ht="15.75" customHeight="1">
      <c r="A813" s="20"/>
      <c r="B813" s="71"/>
      <c r="C813" s="20"/>
      <c r="D813" s="20"/>
      <c r="E813" s="20"/>
      <c r="F813" s="20"/>
      <c r="G813" s="20"/>
      <c r="H813" s="66"/>
      <c r="I813" s="66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142"/>
      <c r="W813" s="141"/>
      <c r="X813" s="74"/>
      <c r="Y813" s="75"/>
      <c r="Z813" s="75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</row>
    <row r="814" spans="1:45" ht="15.75" customHeight="1">
      <c r="A814" s="20"/>
      <c r="B814" s="71"/>
      <c r="C814" s="20"/>
      <c r="D814" s="20"/>
      <c r="E814" s="20"/>
      <c r="F814" s="20"/>
      <c r="G814" s="20"/>
      <c r="H814" s="66"/>
      <c r="I814" s="66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142"/>
      <c r="W814" s="141"/>
      <c r="X814" s="74"/>
      <c r="Y814" s="75"/>
      <c r="Z814" s="75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</row>
    <row r="815" spans="1:45" ht="15.75" customHeight="1">
      <c r="A815" s="20"/>
      <c r="B815" s="71"/>
      <c r="C815" s="20"/>
      <c r="D815" s="20"/>
      <c r="E815" s="20"/>
      <c r="F815" s="20"/>
      <c r="G815" s="20"/>
      <c r="H815" s="66"/>
      <c r="I815" s="66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142"/>
      <c r="W815" s="141"/>
      <c r="X815" s="74"/>
      <c r="Y815" s="75"/>
      <c r="Z815" s="75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</row>
    <row r="816" spans="1:45" ht="15.75" customHeight="1">
      <c r="A816" s="20"/>
      <c r="B816" s="71"/>
      <c r="C816" s="20"/>
      <c r="D816" s="20"/>
      <c r="E816" s="20"/>
      <c r="F816" s="20"/>
      <c r="G816" s="20"/>
      <c r="H816" s="66"/>
      <c r="I816" s="66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142"/>
      <c r="W816" s="141"/>
      <c r="X816" s="74"/>
      <c r="Y816" s="75"/>
      <c r="Z816" s="75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</row>
    <row r="817" spans="1:45" ht="15.75" customHeight="1">
      <c r="A817" s="20"/>
      <c r="B817" s="71"/>
      <c r="C817" s="20"/>
      <c r="D817" s="20"/>
      <c r="E817" s="20"/>
      <c r="F817" s="20"/>
      <c r="G817" s="20"/>
      <c r="H817" s="66"/>
      <c r="I817" s="66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142"/>
      <c r="W817" s="141"/>
      <c r="X817" s="74"/>
      <c r="Y817" s="75"/>
      <c r="Z817" s="75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</row>
    <row r="818" spans="1:45" ht="15.75" customHeight="1">
      <c r="A818" s="20"/>
      <c r="B818" s="71"/>
      <c r="C818" s="20"/>
      <c r="D818" s="20"/>
      <c r="E818" s="20"/>
      <c r="F818" s="20"/>
      <c r="G818" s="20"/>
      <c r="H818" s="66"/>
      <c r="I818" s="66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142"/>
      <c r="W818" s="141"/>
      <c r="X818" s="74"/>
      <c r="Y818" s="75"/>
      <c r="Z818" s="75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</row>
    <row r="819" spans="1:45" ht="15.75" customHeight="1">
      <c r="A819" s="20"/>
      <c r="B819" s="71"/>
      <c r="C819" s="20"/>
      <c r="D819" s="20"/>
      <c r="E819" s="20"/>
      <c r="F819" s="20"/>
      <c r="G819" s="20"/>
      <c r="H819" s="66"/>
      <c r="I819" s="66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142"/>
      <c r="W819" s="141"/>
      <c r="X819" s="74"/>
      <c r="Y819" s="75"/>
      <c r="Z819" s="75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</row>
    <row r="820" spans="1:45" ht="15.75" customHeight="1">
      <c r="A820" s="20"/>
      <c r="B820" s="71"/>
      <c r="C820" s="20"/>
      <c r="D820" s="20"/>
      <c r="E820" s="20"/>
      <c r="F820" s="20"/>
      <c r="G820" s="20"/>
      <c r="H820" s="66"/>
      <c r="I820" s="66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142"/>
      <c r="W820" s="141"/>
      <c r="X820" s="74"/>
      <c r="Y820" s="75"/>
      <c r="Z820" s="75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</row>
    <row r="821" spans="1:45" ht="15.75" customHeight="1">
      <c r="A821" s="20"/>
      <c r="B821" s="71"/>
      <c r="C821" s="20"/>
      <c r="D821" s="20"/>
      <c r="E821" s="20"/>
      <c r="F821" s="20"/>
      <c r="G821" s="20"/>
      <c r="H821" s="66"/>
      <c r="I821" s="66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142"/>
      <c r="W821" s="141"/>
      <c r="X821" s="74"/>
      <c r="Y821" s="75"/>
      <c r="Z821" s="75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</row>
    <row r="822" spans="1:45" ht="15.75" customHeight="1">
      <c r="A822" s="20"/>
      <c r="B822" s="71"/>
      <c r="C822" s="20"/>
      <c r="D822" s="20"/>
      <c r="E822" s="20"/>
      <c r="F822" s="20"/>
      <c r="G822" s="20"/>
      <c r="H822" s="66"/>
      <c r="I822" s="66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142"/>
      <c r="W822" s="141"/>
      <c r="X822" s="74"/>
      <c r="Y822" s="75"/>
      <c r="Z822" s="75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</row>
    <row r="823" spans="1:45" ht="15.75" customHeight="1">
      <c r="A823" s="20"/>
      <c r="B823" s="71"/>
      <c r="C823" s="20"/>
      <c r="D823" s="20"/>
      <c r="E823" s="20"/>
      <c r="F823" s="20"/>
      <c r="G823" s="20"/>
      <c r="H823" s="66"/>
      <c r="I823" s="66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142"/>
      <c r="W823" s="141"/>
      <c r="X823" s="74"/>
      <c r="Y823" s="75"/>
      <c r="Z823" s="75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</row>
    <row r="824" spans="1:45" ht="15.75" customHeight="1">
      <c r="A824" s="20"/>
      <c r="B824" s="71"/>
      <c r="C824" s="20"/>
      <c r="D824" s="20"/>
      <c r="E824" s="20"/>
      <c r="F824" s="20"/>
      <c r="G824" s="20"/>
      <c r="H824" s="66"/>
      <c r="I824" s="66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142"/>
      <c r="W824" s="141"/>
      <c r="X824" s="74"/>
      <c r="Y824" s="75"/>
      <c r="Z824" s="75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</row>
    <row r="825" spans="1:45" ht="15.75" customHeight="1">
      <c r="A825" s="20"/>
      <c r="B825" s="71"/>
      <c r="C825" s="20"/>
      <c r="D825" s="20"/>
      <c r="E825" s="20"/>
      <c r="F825" s="20"/>
      <c r="G825" s="20"/>
      <c r="H825" s="66"/>
      <c r="I825" s="66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142"/>
      <c r="W825" s="141"/>
      <c r="X825" s="74"/>
      <c r="Y825" s="75"/>
      <c r="Z825" s="75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</row>
    <row r="826" spans="1:45" ht="15.75" customHeight="1">
      <c r="A826" s="20"/>
      <c r="B826" s="71"/>
      <c r="C826" s="20"/>
      <c r="D826" s="20"/>
      <c r="E826" s="20"/>
      <c r="F826" s="20"/>
      <c r="G826" s="20"/>
      <c r="H826" s="66"/>
      <c r="I826" s="66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142"/>
      <c r="W826" s="141"/>
      <c r="X826" s="74"/>
      <c r="Y826" s="75"/>
      <c r="Z826" s="75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</row>
    <row r="827" spans="1:45" ht="15.75" customHeight="1">
      <c r="A827" s="20"/>
      <c r="B827" s="71"/>
      <c r="C827" s="20"/>
      <c r="D827" s="20"/>
      <c r="E827" s="20"/>
      <c r="F827" s="20"/>
      <c r="G827" s="20"/>
      <c r="H827" s="66"/>
      <c r="I827" s="66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142"/>
      <c r="W827" s="141"/>
      <c r="X827" s="74"/>
      <c r="Y827" s="75"/>
      <c r="Z827" s="75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</row>
    <row r="828" spans="1:45" ht="15.75" customHeight="1">
      <c r="A828" s="20"/>
      <c r="B828" s="71"/>
      <c r="C828" s="20"/>
      <c r="D828" s="20"/>
      <c r="E828" s="20"/>
      <c r="F828" s="20"/>
      <c r="G828" s="20"/>
      <c r="H828" s="66"/>
      <c r="I828" s="66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142"/>
      <c r="W828" s="141"/>
      <c r="X828" s="74"/>
      <c r="Y828" s="75"/>
      <c r="Z828" s="75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</row>
    <row r="829" spans="1:45" ht="15.75" customHeight="1">
      <c r="A829" s="20"/>
      <c r="B829" s="71"/>
      <c r="C829" s="20"/>
      <c r="D829" s="20"/>
      <c r="E829" s="20"/>
      <c r="F829" s="20"/>
      <c r="G829" s="20"/>
      <c r="H829" s="66"/>
      <c r="I829" s="66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142"/>
      <c r="W829" s="141"/>
      <c r="X829" s="74"/>
      <c r="Y829" s="75"/>
      <c r="Z829" s="75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</row>
    <row r="830" spans="1:45" ht="15.75" customHeight="1">
      <c r="A830" s="20"/>
      <c r="B830" s="71"/>
      <c r="C830" s="20"/>
      <c r="D830" s="20"/>
      <c r="E830" s="20"/>
      <c r="F830" s="20"/>
      <c r="G830" s="20"/>
      <c r="H830" s="66"/>
      <c r="I830" s="66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142"/>
      <c r="W830" s="141"/>
      <c r="X830" s="74"/>
      <c r="Y830" s="75"/>
      <c r="Z830" s="75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</row>
    <row r="831" spans="1:45" ht="15.75" customHeight="1">
      <c r="A831" s="20"/>
      <c r="B831" s="71"/>
      <c r="C831" s="20"/>
      <c r="D831" s="20"/>
      <c r="E831" s="20"/>
      <c r="F831" s="20"/>
      <c r="G831" s="20"/>
      <c r="H831" s="66"/>
      <c r="I831" s="66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142"/>
      <c r="W831" s="141"/>
      <c r="X831" s="74"/>
      <c r="Y831" s="75"/>
      <c r="Z831" s="75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</row>
    <row r="832" spans="1:45" ht="15.75" customHeight="1">
      <c r="A832" s="20"/>
      <c r="B832" s="71"/>
      <c r="C832" s="20"/>
      <c r="D832" s="20"/>
      <c r="E832" s="20"/>
      <c r="F832" s="20"/>
      <c r="G832" s="20"/>
      <c r="H832" s="66"/>
      <c r="I832" s="66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142"/>
      <c r="W832" s="141"/>
      <c r="X832" s="74"/>
      <c r="Y832" s="75"/>
      <c r="Z832" s="75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</row>
    <row r="833" spans="1:45" ht="15.75" customHeight="1">
      <c r="A833" s="20"/>
      <c r="B833" s="71"/>
      <c r="C833" s="20"/>
      <c r="D833" s="20"/>
      <c r="E833" s="20"/>
      <c r="F833" s="20"/>
      <c r="G833" s="20"/>
      <c r="H833" s="66"/>
      <c r="I833" s="66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142"/>
      <c r="W833" s="141"/>
      <c r="X833" s="74"/>
      <c r="Y833" s="75"/>
      <c r="Z833" s="75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</row>
    <row r="834" spans="1:45" ht="15.75" customHeight="1">
      <c r="A834" s="20"/>
      <c r="B834" s="71"/>
      <c r="C834" s="20"/>
      <c r="D834" s="20"/>
      <c r="E834" s="20"/>
      <c r="F834" s="20"/>
      <c r="G834" s="20"/>
      <c r="H834" s="66"/>
      <c r="I834" s="66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142"/>
      <c r="W834" s="141"/>
      <c r="X834" s="74"/>
      <c r="Y834" s="75"/>
      <c r="Z834" s="75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</row>
    <row r="835" spans="1:45" ht="15.75" customHeight="1">
      <c r="A835" s="20"/>
      <c r="B835" s="71"/>
      <c r="C835" s="20"/>
      <c r="D835" s="20"/>
      <c r="E835" s="20"/>
      <c r="F835" s="20"/>
      <c r="G835" s="20"/>
      <c r="H835" s="66"/>
      <c r="I835" s="66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142"/>
      <c r="W835" s="141"/>
      <c r="X835" s="74"/>
      <c r="Y835" s="75"/>
      <c r="Z835" s="75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</row>
    <row r="836" spans="1:45" ht="15.75" customHeight="1">
      <c r="A836" s="20"/>
      <c r="B836" s="71"/>
      <c r="C836" s="20"/>
      <c r="D836" s="20"/>
      <c r="E836" s="20"/>
      <c r="F836" s="20"/>
      <c r="G836" s="20"/>
      <c r="H836" s="66"/>
      <c r="I836" s="66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142"/>
      <c r="W836" s="141"/>
      <c r="X836" s="74"/>
      <c r="Y836" s="75"/>
      <c r="Z836" s="75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</row>
    <row r="837" spans="1:45" ht="15.75" customHeight="1">
      <c r="A837" s="20"/>
      <c r="B837" s="71"/>
      <c r="C837" s="20"/>
      <c r="D837" s="20"/>
      <c r="E837" s="20"/>
      <c r="F837" s="20"/>
      <c r="G837" s="20"/>
      <c r="H837" s="66"/>
      <c r="I837" s="66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142"/>
      <c r="W837" s="141"/>
      <c r="X837" s="74"/>
      <c r="Y837" s="75"/>
      <c r="Z837" s="75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</row>
    <row r="838" spans="1:45" ht="15.75" customHeight="1">
      <c r="A838" s="20"/>
      <c r="B838" s="71"/>
      <c r="C838" s="20"/>
      <c r="D838" s="20"/>
      <c r="E838" s="20"/>
      <c r="F838" s="20"/>
      <c r="G838" s="20"/>
      <c r="H838" s="66"/>
      <c r="I838" s="66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142"/>
      <c r="W838" s="141"/>
      <c r="X838" s="74"/>
      <c r="Y838" s="75"/>
      <c r="Z838" s="75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</row>
    <row r="839" spans="1:45" ht="15.75" customHeight="1">
      <c r="A839" s="20"/>
      <c r="B839" s="71"/>
      <c r="C839" s="20"/>
      <c r="D839" s="20"/>
      <c r="E839" s="20"/>
      <c r="F839" s="20"/>
      <c r="G839" s="20"/>
      <c r="H839" s="66"/>
      <c r="I839" s="66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142"/>
      <c r="W839" s="141"/>
      <c r="X839" s="74"/>
      <c r="Y839" s="75"/>
      <c r="Z839" s="75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</row>
    <row r="840" spans="1:45" ht="15.75" customHeight="1">
      <c r="A840" s="20"/>
      <c r="B840" s="71"/>
      <c r="C840" s="20"/>
      <c r="D840" s="20"/>
      <c r="E840" s="20"/>
      <c r="F840" s="20"/>
      <c r="G840" s="20"/>
      <c r="H840" s="66"/>
      <c r="I840" s="66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142"/>
      <c r="W840" s="141"/>
      <c r="X840" s="74"/>
      <c r="Y840" s="75"/>
      <c r="Z840" s="75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</row>
    <row r="841" spans="1:45" ht="15.75" customHeight="1">
      <c r="A841" s="20"/>
      <c r="B841" s="71"/>
      <c r="C841" s="20"/>
      <c r="D841" s="20"/>
      <c r="E841" s="20"/>
      <c r="F841" s="20"/>
      <c r="G841" s="20"/>
      <c r="H841" s="66"/>
      <c r="I841" s="66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142"/>
      <c r="W841" s="141"/>
      <c r="X841" s="74"/>
      <c r="Y841" s="75"/>
      <c r="Z841" s="75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</row>
    <row r="842" spans="1:45" ht="15.75" customHeight="1">
      <c r="A842" s="20"/>
      <c r="B842" s="71"/>
      <c r="C842" s="20"/>
      <c r="D842" s="20"/>
      <c r="E842" s="20"/>
      <c r="F842" s="20"/>
      <c r="G842" s="20"/>
      <c r="H842" s="66"/>
      <c r="I842" s="66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142"/>
      <c r="W842" s="141"/>
      <c r="X842" s="74"/>
      <c r="Y842" s="75"/>
      <c r="Z842" s="75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</row>
    <row r="843" spans="1:45" ht="15.75" customHeight="1">
      <c r="A843" s="20"/>
      <c r="B843" s="71"/>
      <c r="C843" s="20"/>
      <c r="D843" s="20"/>
      <c r="E843" s="20"/>
      <c r="F843" s="20"/>
      <c r="G843" s="20"/>
      <c r="H843" s="66"/>
      <c r="I843" s="66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142"/>
      <c r="W843" s="141"/>
      <c r="X843" s="74"/>
      <c r="Y843" s="75"/>
      <c r="Z843" s="75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</row>
    <row r="844" spans="1:45" ht="15.75" customHeight="1">
      <c r="A844" s="20"/>
      <c r="B844" s="71"/>
      <c r="C844" s="20"/>
      <c r="D844" s="20"/>
      <c r="E844" s="20"/>
      <c r="F844" s="20"/>
      <c r="G844" s="20"/>
      <c r="H844" s="66"/>
      <c r="I844" s="66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142"/>
      <c r="W844" s="141"/>
      <c r="X844" s="74"/>
      <c r="Y844" s="75"/>
      <c r="Z844" s="75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</row>
    <row r="845" spans="1:45" ht="15.75" customHeight="1">
      <c r="A845" s="20"/>
      <c r="B845" s="71"/>
      <c r="C845" s="20"/>
      <c r="D845" s="20"/>
      <c r="E845" s="20"/>
      <c r="F845" s="20"/>
      <c r="G845" s="20"/>
      <c r="H845" s="66"/>
      <c r="I845" s="66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142"/>
      <c r="W845" s="141"/>
      <c r="X845" s="74"/>
      <c r="Y845" s="75"/>
      <c r="Z845" s="75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</row>
    <row r="846" spans="1:45" ht="15.75" customHeight="1">
      <c r="A846" s="20"/>
      <c r="B846" s="71"/>
      <c r="C846" s="20"/>
      <c r="D846" s="20"/>
      <c r="E846" s="20"/>
      <c r="F846" s="20"/>
      <c r="G846" s="20"/>
      <c r="H846" s="66"/>
      <c r="I846" s="66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142"/>
      <c r="W846" s="141"/>
      <c r="X846" s="74"/>
      <c r="Y846" s="75"/>
      <c r="Z846" s="75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</row>
    <row r="847" spans="1:45" ht="15.75" customHeight="1">
      <c r="A847" s="20"/>
      <c r="B847" s="71"/>
      <c r="C847" s="20"/>
      <c r="D847" s="20"/>
      <c r="E847" s="20"/>
      <c r="F847" s="20"/>
      <c r="G847" s="20"/>
      <c r="H847" s="66"/>
      <c r="I847" s="66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142"/>
      <c r="W847" s="141"/>
      <c r="X847" s="74"/>
      <c r="Y847" s="75"/>
      <c r="Z847" s="75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</row>
    <row r="848" spans="1:45" ht="15.75" customHeight="1">
      <c r="A848" s="20"/>
      <c r="B848" s="71"/>
      <c r="C848" s="20"/>
      <c r="D848" s="20"/>
      <c r="E848" s="20"/>
      <c r="F848" s="20"/>
      <c r="G848" s="20"/>
      <c r="H848" s="66"/>
      <c r="I848" s="66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142"/>
      <c r="W848" s="141"/>
      <c r="X848" s="74"/>
      <c r="Y848" s="75"/>
      <c r="Z848" s="75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</row>
    <row r="849" spans="1:45" ht="15.75" customHeight="1">
      <c r="A849" s="20"/>
      <c r="B849" s="71"/>
      <c r="C849" s="20"/>
      <c r="D849" s="20"/>
      <c r="E849" s="20"/>
      <c r="F849" s="20"/>
      <c r="G849" s="20"/>
      <c r="H849" s="66"/>
      <c r="I849" s="66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142"/>
      <c r="W849" s="141"/>
      <c r="X849" s="74"/>
      <c r="Y849" s="75"/>
      <c r="Z849" s="75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</row>
    <row r="850" spans="1:45" ht="15.75" customHeight="1">
      <c r="A850" s="20"/>
      <c r="B850" s="71"/>
      <c r="C850" s="20"/>
      <c r="D850" s="20"/>
      <c r="E850" s="20"/>
      <c r="F850" s="20"/>
      <c r="G850" s="20"/>
      <c r="H850" s="66"/>
      <c r="I850" s="66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142"/>
      <c r="W850" s="141"/>
      <c r="X850" s="74"/>
      <c r="Y850" s="75"/>
      <c r="Z850" s="75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</row>
    <row r="851" spans="1:45" ht="15.75" customHeight="1">
      <c r="A851" s="20"/>
      <c r="B851" s="71"/>
      <c r="C851" s="20"/>
      <c r="D851" s="20"/>
      <c r="E851" s="20"/>
      <c r="F851" s="20"/>
      <c r="G851" s="20"/>
      <c r="H851" s="66"/>
      <c r="I851" s="66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142"/>
      <c r="W851" s="141"/>
      <c r="X851" s="74"/>
      <c r="Y851" s="75"/>
      <c r="Z851" s="75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</row>
    <row r="852" spans="1:45" ht="15.75" customHeight="1">
      <c r="A852" s="20"/>
      <c r="B852" s="71"/>
      <c r="C852" s="20"/>
      <c r="D852" s="20"/>
      <c r="E852" s="20"/>
      <c r="F852" s="20"/>
      <c r="G852" s="20"/>
      <c r="H852" s="66"/>
      <c r="I852" s="66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142"/>
      <c r="W852" s="141"/>
      <c r="X852" s="74"/>
      <c r="Y852" s="75"/>
      <c r="Z852" s="75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</row>
    <row r="853" spans="1:45" ht="15.75" customHeight="1">
      <c r="A853" s="20"/>
      <c r="B853" s="71"/>
      <c r="C853" s="20"/>
      <c r="D853" s="20"/>
      <c r="E853" s="20"/>
      <c r="F853" s="20"/>
      <c r="G853" s="20"/>
      <c r="H853" s="66"/>
      <c r="I853" s="66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142"/>
      <c r="W853" s="141"/>
      <c r="X853" s="74"/>
      <c r="Y853" s="75"/>
      <c r="Z853" s="75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</row>
    <row r="854" spans="1:45" ht="15.75" customHeight="1">
      <c r="A854" s="20"/>
      <c r="B854" s="71"/>
      <c r="C854" s="20"/>
      <c r="D854" s="20"/>
      <c r="E854" s="20"/>
      <c r="F854" s="20"/>
      <c r="G854" s="20"/>
      <c r="H854" s="66"/>
      <c r="I854" s="66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142"/>
      <c r="W854" s="141"/>
      <c r="X854" s="74"/>
      <c r="Y854" s="75"/>
      <c r="Z854" s="75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</row>
    <row r="855" spans="1:45" ht="15.75" customHeight="1">
      <c r="A855" s="20"/>
      <c r="B855" s="71"/>
      <c r="C855" s="20"/>
      <c r="D855" s="20"/>
      <c r="E855" s="20"/>
      <c r="F855" s="20"/>
      <c r="G855" s="20"/>
      <c r="H855" s="66"/>
      <c r="I855" s="66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142"/>
      <c r="W855" s="141"/>
      <c r="X855" s="74"/>
      <c r="Y855" s="75"/>
      <c r="Z855" s="75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</row>
    <row r="856" spans="1:45" ht="15.75" customHeight="1">
      <c r="A856" s="20"/>
      <c r="B856" s="71"/>
      <c r="C856" s="20"/>
      <c r="D856" s="20"/>
      <c r="E856" s="20"/>
      <c r="F856" s="20"/>
      <c r="G856" s="20"/>
      <c r="H856" s="66"/>
      <c r="I856" s="66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142"/>
      <c r="W856" s="141"/>
      <c r="X856" s="74"/>
      <c r="Y856" s="75"/>
      <c r="Z856" s="75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</row>
    <row r="857" spans="1:45" ht="15.75" customHeight="1">
      <c r="A857" s="20"/>
      <c r="B857" s="71"/>
      <c r="C857" s="20"/>
      <c r="D857" s="20"/>
      <c r="E857" s="20"/>
      <c r="F857" s="20"/>
      <c r="G857" s="20"/>
      <c r="H857" s="66"/>
      <c r="I857" s="66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142"/>
      <c r="W857" s="141"/>
      <c r="X857" s="74"/>
      <c r="Y857" s="75"/>
      <c r="Z857" s="75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</row>
    <row r="858" spans="1:45" ht="15.75" customHeight="1">
      <c r="A858" s="20"/>
      <c r="B858" s="71"/>
      <c r="C858" s="20"/>
      <c r="D858" s="20"/>
      <c r="E858" s="20"/>
      <c r="F858" s="20"/>
      <c r="G858" s="20"/>
      <c r="H858" s="66"/>
      <c r="I858" s="66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142"/>
      <c r="W858" s="141"/>
      <c r="X858" s="74"/>
      <c r="Y858" s="75"/>
      <c r="Z858" s="75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</row>
    <row r="859" spans="1:45" ht="15.75" customHeight="1">
      <c r="A859" s="20"/>
      <c r="B859" s="71"/>
      <c r="C859" s="20"/>
      <c r="D859" s="20"/>
      <c r="E859" s="20"/>
      <c r="F859" s="20"/>
      <c r="G859" s="20"/>
      <c r="H859" s="66"/>
      <c r="I859" s="66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142"/>
      <c r="W859" s="141"/>
      <c r="X859" s="74"/>
      <c r="Y859" s="75"/>
      <c r="Z859" s="75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</row>
    <row r="860" spans="1:45" ht="15.75" customHeight="1">
      <c r="A860" s="20"/>
      <c r="B860" s="71"/>
      <c r="C860" s="20"/>
      <c r="D860" s="20"/>
      <c r="E860" s="20"/>
      <c r="F860" s="20"/>
      <c r="G860" s="20"/>
      <c r="H860" s="66"/>
      <c r="I860" s="66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142"/>
      <c r="W860" s="141"/>
      <c r="X860" s="74"/>
      <c r="Y860" s="75"/>
      <c r="Z860" s="75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</row>
    <row r="861" spans="1:45" ht="15.75" customHeight="1">
      <c r="A861" s="20"/>
      <c r="B861" s="71"/>
      <c r="C861" s="20"/>
      <c r="D861" s="20"/>
      <c r="E861" s="20"/>
      <c r="F861" s="20"/>
      <c r="G861" s="20"/>
      <c r="H861" s="66"/>
      <c r="I861" s="66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142"/>
      <c r="W861" s="141"/>
      <c r="X861" s="74"/>
      <c r="Y861" s="75"/>
      <c r="Z861" s="75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</row>
    <row r="862" spans="1:45" ht="15.75" customHeight="1">
      <c r="A862" s="20"/>
      <c r="B862" s="71"/>
      <c r="C862" s="20"/>
      <c r="D862" s="20"/>
      <c r="E862" s="20"/>
      <c r="F862" s="20"/>
      <c r="G862" s="20"/>
      <c r="H862" s="66"/>
      <c r="I862" s="66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142"/>
      <c r="W862" s="141"/>
      <c r="X862" s="74"/>
      <c r="Y862" s="75"/>
      <c r="Z862" s="75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</row>
    <row r="863" spans="1:45" ht="15.75" customHeight="1">
      <c r="A863" s="20"/>
      <c r="B863" s="71"/>
      <c r="C863" s="20"/>
      <c r="D863" s="20"/>
      <c r="E863" s="20"/>
      <c r="F863" s="20"/>
      <c r="G863" s="20"/>
      <c r="H863" s="66"/>
      <c r="I863" s="66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142"/>
      <c r="W863" s="141"/>
      <c r="X863" s="74"/>
      <c r="Y863" s="75"/>
      <c r="Z863" s="75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</row>
    <row r="864" spans="1:45" ht="15.75" customHeight="1">
      <c r="A864" s="20"/>
      <c r="B864" s="71"/>
      <c r="C864" s="20"/>
      <c r="D864" s="20"/>
      <c r="E864" s="20"/>
      <c r="F864" s="20"/>
      <c r="G864" s="20"/>
      <c r="H864" s="66"/>
      <c r="I864" s="66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142"/>
      <c r="W864" s="141"/>
      <c r="X864" s="74"/>
      <c r="Y864" s="75"/>
      <c r="Z864" s="75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</row>
    <row r="865" spans="1:45" ht="15.75" customHeight="1">
      <c r="A865" s="20"/>
      <c r="B865" s="71"/>
      <c r="C865" s="20"/>
      <c r="D865" s="20"/>
      <c r="E865" s="20"/>
      <c r="F865" s="20"/>
      <c r="G865" s="20"/>
      <c r="H865" s="66"/>
      <c r="I865" s="66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142"/>
      <c r="W865" s="141"/>
      <c r="X865" s="74"/>
      <c r="Y865" s="75"/>
      <c r="Z865" s="75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</row>
    <row r="866" spans="1:45" ht="15.75" customHeight="1">
      <c r="A866" s="20"/>
      <c r="B866" s="71"/>
      <c r="C866" s="20"/>
      <c r="D866" s="20"/>
      <c r="E866" s="20"/>
      <c r="F866" s="20"/>
      <c r="G866" s="20"/>
      <c r="H866" s="66"/>
      <c r="I866" s="66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142"/>
      <c r="W866" s="141"/>
      <c r="X866" s="74"/>
      <c r="Y866" s="75"/>
      <c r="Z866" s="75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</row>
    <row r="867" spans="1:45" ht="15.75" customHeight="1">
      <c r="A867" s="20"/>
      <c r="B867" s="71"/>
      <c r="C867" s="20"/>
      <c r="D867" s="20"/>
      <c r="E867" s="20"/>
      <c r="F867" s="20"/>
      <c r="G867" s="20"/>
      <c r="H867" s="66"/>
      <c r="I867" s="66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142"/>
      <c r="W867" s="141"/>
      <c r="X867" s="74"/>
      <c r="Y867" s="75"/>
      <c r="Z867" s="75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</row>
    <row r="868" spans="1:45" ht="15.75" customHeight="1">
      <c r="A868" s="20"/>
      <c r="B868" s="71"/>
      <c r="C868" s="20"/>
      <c r="D868" s="20"/>
      <c r="E868" s="20"/>
      <c r="F868" s="20"/>
      <c r="G868" s="20"/>
      <c r="H868" s="66"/>
      <c r="I868" s="66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142"/>
      <c r="W868" s="141"/>
      <c r="X868" s="74"/>
      <c r="Y868" s="75"/>
      <c r="Z868" s="75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</row>
    <row r="869" spans="1:45" ht="15.75" customHeight="1">
      <c r="A869" s="20"/>
      <c r="B869" s="71"/>
      <c r="C869" s="20"/>
      <c r="D869" s="20"/>
      <c r="E869" s="20"/>
      <c r="F869" s="20"/>
      <c r="G869" s="20"/>
      <c r="H869" s="66"/>
      <c r="I869" s="66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142"/>
      <c r="W869" s="141"/>
      <c r="X869" s="74"/>
      <c r="Y869" s="75"/>
      <c r="Z869" s="75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</row>
    <row r="870" spans="1:45" ht="15.75" customHeight="1">
      <c r="A870" s="20"/>
      <c r="B870" s="71"/>
      <c r="C870" s="20"/>
      <c r="D870" s="20"/>
      <c r="E870" s="20"/>
      <c r="F870" s="20"/>
      <c r="G870" s="20"/>
      <c r="H870" s="66"/>
      <c r="I870" s="66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142"/>
      <c r="W870" s="141"/>
      <c r="X870" s="74"/>
      <c r="Y870" s="75"/>
      <c r="Z870" s="75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</row>
    <row r="871" spans="1:45" ht="15.75" customHeight="1">
      <c r="A871" s="20"/>
      <c r="B871" s="71"/>
      <c r="C871" s="20"/>
      <c r="D871" s="20"/>
      <c r="E871" s="20"/>
      <c r="F871" s="20"/>
      <c r="G871" s="20"/>
      <c r="H871" s="66"/>
      <c r="I871" s="66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142"/>
      <c r="W871" s="141"/>
      <c r="X871" s="74"/>
      <c r="Y871" s="75"/>
      <c r="Z871" s="75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</row>
    <row r="872" spans="1:45" ht="15.75" customHeight="1">
      <c r="A872" s="20"/>
      <c r="B872" s="71"/>
      <c r="C872" s="20"/>
      <c r="D872" s="20"/>
      <c r="E872" s="20"/>
      <c r="F872" s="20"/>
      <c r="G872" s="20"/>
      <c r="H872" s="66"/>
      <c r="I872" s="66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142"/>
      <c r="W872" s="141"/>
      <c r="X872" s="74"/>
      <c r="Y872" s="75"/>
      <c r="Z872" s="75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</row>
    <row r="873" spans="1:45" ht="15.75" customHeight="1">
      <c r="A873" s="20"/>
      <c r="B873" s="71"/>
      <c r="C873" s="20"/>
      <c r="D873" s="20"/>
      <c r="E873" s="20"/>
      <c r="F873" s="20"/>
      <c r="G873" s="20"/>
      <c r="H873" s="66"/>
      <c r="I873" s="66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142"/>
      <c r="W873" s="141"/>
      <c r="X873" s="74"/>
      <c r="Y873" s="75"/>
      <c r="Z873" s="75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</row>
    <row r="874" spans="1:45" ht="15.75" customHeight="1">
      <c r="A874" s="20"/>
      <c r="B874" s="71"/>
      <c r="C874" s="20"/>
      <c r="D874" s="20"/>
      <c r="E874" s="20"/>
      <c r="F874" s="20"/>
      <c r="G874" s="20"/>
      <c r="H874" s="66"/>
      <c r="I874" s="66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142"/>
      <c r="W874" s="141"/>
      <c r="X874" s="74"/>
      <c r="Y874" s="75"/>
      <c r="Z874" s="75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</row>
    <row r="875" spans="1:45" ht="15.75" customHeight="1">
      <c r="A875" s="20"/>
      <c r="B875" s="71"/>
      <c r="C875" s="20"/>
      <c r="D875" s="20"/>
      <c r="E875" s="20"/>
      <c r="F875" s="20"/>
      <c r="G875" s="20"/>
      <c r="H875" s="66"/>
      <c r="I875" s="66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142"/>
      <c r="W875" s="141"/>
      <c r="X875" s="74"/>
      <c r="Y875" s="75"/>
      <c r="Z875" s="75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</row>
    <row r="876" spans="1:45" ht="15.75" customHeight="1">
      <c r="A876" s="20"/>
      <c r="B876" s="71"/>
      <c r="C876" s="20"/>
      <c r="D876" s="20"/>
      <c r="E876" s="20"/>
      <c r="F876" s="20"/>
      <c r="G876" s="20"/>
      <c r="H876" s="66"/>
      <c r="I876" s="66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142"/>
      <c r="W876" s="141"/>
      <c r="X876" s="74"/>
      <c r="Y876" s="75"/>
      <c r="Z876" s="75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</row>
    <row r="877" spans="1:45" ht="15.75" customHeight="1">
      <c r="A877" s="20"/>
      <c r="B877" s="71"/>
      <c r="C877" s="20"/>
      <c r="D877" s="20"/>
      <c r="E877" s="20"/>
      <c r="F877" s="20"/>
      <c r="G877" s="20"/>
      <c r="H877" s="66"/>
      <c r="I877" s="66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142"/>
      <c r="W877" s="141"/>
      <c r="X877" s="74"/>
      <c r="Y877" s="75"/>
      <c r="Z877" s="75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</row>
    <row r="878" spans="1:45" ht="15.75" customHeight="1">
      <c r="A878" s="20"/>
      <c r="B878" s="71"/>
      <c r="C878" s="20"/>
      <c r="D878" s="20"/>
      <c r="E878" s="20"/>
      <c r="F878" s="20"/>
      <c r="G878" s="20"/>
      <c r="H878" s="66"/>
      <c r="I878" s="66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142"/>
      <c r="W878" s="141"/>
      <c r="X878" s="74"/>
      <c r="Y878" s="75"/>
      <c r="Z878" s="75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</row>
    <row r="879" spans="1:45" ht="15.75" customHeight="1">
      <c r="A879" s="20"/>
      <c r="B879" s="71"/>
      <c r="C879" s="20"/>
      <c r="D879" s="20"/>
      <c r="E879" s="20"/>
      <c r="F879" s="20"/>
      <c r="G879" s="20"/>
      <c r="H879" s="66"/>
      <c r="I879" s="66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142"/>
      <c r="W879" s="141"/>
      <c r="X879" s="74"/>
      <c r="Y879" s="75"/>
      <c r="Z879" s="75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</row>
    <row r="880" spans="1:45" ht="15.75" customHeight="1">
      <c r="A880" s="20"/>
      <c r="B880" s="71"/>
      <c r="C880" s="20"/>
      <c r="D880" s="20"/>
      <c r="E880" s="20"/>
      <c r="F880" s="20"/>
      <c r="G880" s="20"/>
      <c r="H880" s="66"/>
      <c r="I880" s="66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142"/>
      <c r="W880" s="141"/>
      <c r="X880" s="74"/>
      <c r="Y880" s="75"/>
      <c r="Z880" s="75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</row>
    <row r="881" spans="1:45" ht="15.75" customHeight="1">
      <c r="A881" s="20"/>
      <c r="B881" s="71"/>
      <c r="C881" s="20"/>
      <c r="D881" s="20"/>
      <c r="E881" s="20"/>
      <c r="F881" s="20"/>
      <c r="G881" s="20"/>
      <c r="H881" s="66"/>
      <c r="I881" s="66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142"/>
      <c r="W881" s="141"/>
      <c r="X881" s="74"/>
      <c r="Y881" s="75"/>
      <c r="Z881" s="75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</row>
    <row r="882" spans="1:45" ht="15.75" customHeight="1">
      <c r="A882" s="20"/>
      <c r="B882" s="71"/>
      <c r="C882" s="20"/>
      <c r="D882" s="20"/>
      <c r="E882" s="20"/>
      <c r="F882" s="20"/>
      <c r="G882" s="20"/>
      <c r="H882" s="66"/>
      <c r="I882" s="66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142"/>
      <c r="W882" s="141"/>
      <c r="X882" s="74"/>
      <c r="Y882" s="75"/>
      <c r="Z882" s="75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</row>
    <row r="883" spans="1:45" ht="15.75" customHeight="1">
      <c r="A883" s="20"/>
      <c r="B883" s="71"/>
      <c r="C883" s="20"/>
      <c r="D883" s="20"/>
      <c r="E883" s="20"/>
      <c r="F883" s="20"/>
      <c r="G883" s="20"/>
      <c r="H883" s="66"/>
      <c r="I883" s="66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142"/>
      <c r="W883" s="141"/>
      <c r="X883" s="74"/>
      <c r="Y883" s="75"/>
      <c r="Z883" s="75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</row>
    <row r="884" spans="1:45" ht="15.75" customHeight="1">
      <c r="A884" s="20"/>
      <c r="B884" s="71"/>
      <c r="C884" s="20"/>
      <c r="D884" s="20"/>
      <c r="E884" s="20"/>
      <c r="F884" s="20"/>
      <c r="G884" s="20"/>
      <c r="H884" s="66"/>
      <c r="I884" s="66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142"/>
      <c r="W884" s="141"/>
      <c r="X884" s="74"/>
      <c r="Y884" s="75"/>
      <c r="Z884" s="75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</row>
    <row r="885" spans="1:45" ht="15.75" customHeight="1">
      <c r="A885" s="20"/>
      <c r="B885" s="71"/>
      <c r="C885" s="20"/>
      <c r="D885" s="20"/>
      <c r="E885" s="20"/>
      <c r="F885" s="20"/>
      <c r="G885" s="20"/>
      <c r="H885" s="66"/>
      <c r="I885" s="66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142"/>
      <c r="W885" s="141"/>
      <c r="X885" s="74"/>
      <c r="Y885" s="75"/>
      <c r="Z885" s="75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</row>
    <row r="886" spans="1:45" ht="15.75" customHeight="1">
      <c r="A886" s="20"/>
      <c r="B886" s="71"/>
      <c r="C886" s="20"/>
      <c r="D886" s="20"/>
      <c r="E886" s="20"/>
      <c r="F886" s="20"/>
      <c r="G886" s="20"/>
      <c r="H886" s="66"/>
      <c r="I886" s="66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142"/>
      <c r="W886" s="141"/>
      <c r="X886" s="74"/>
      <c r="Y886" s="75"/>
      <c r="Z886" s="75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</row>
    <row r="887" spans="1:45" ht="15.75" customHeight="1">
      <c r="A887" s="20"/>
      <c r="B887" s="71"/>
      <c r="C887" s="20"/>
      <c r="D887" s="20"/>
      <c r="E887" s="20"/>
      <c r="F887" s="20"/>
      <c r="G887" s="20"/>
      <c r="H887" s="66"/>
      <c r="I887" s="66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142"/>
      <c r="W887" s="141"/>
      <c r="X887" s="74"/>
      <c r="Y887" s="75"/>
      <c r="Z887" s="75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</row>
    <row r="888" spans="1:45" ht="15.75" customHeight="1">
      <c r="A888" s="20"/>
      <c r="B888" s="71"/>
      <c r="C888" s="20"/>
      <c r="D888" s="20"/>
      <c r="E888" s="20"/>
      <c r="F888" s="20"/>
      <c r="G888" s="20"/>
      <c r="H888" s="66"/>
      <c r="I888" s="66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142"/>
      <c r="W888" s="141"/>
      <c r="X888" s="74"/>
      <c r="Y888" s="75"/>
      <c r="Z888" s="75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</row>
    <row r="889" spans="1:45" ht="15.75" customHeight="1">
      <c r="A889" s="20"/>
      <c r="B889" s="71"/>
      <c r="C889" s="20"/>
      <c r="D889" s="20"/>
      <c r="E889" s="20"/>
      <c r="F889" s="20"/>
      <c r="G889" s="20"/>
      <c r="H889" s="66"/>
      <c r="I889" s="66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142"/>
      <c r="W889" s="141"/>
      <c r="X889" s="74"/>
      <c r="Y889" s="75"/>
      <c r="Z889" s="75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</row>
    <row r="890" spans="1:45" ht="15.75" customHeight="1">
      <c r="A890" s="20"/>
      <c r="B890" s="71"/>
      <c r="C890" s="20"/>
      <c r="D890" s="20"/>
      <c r="E890" s="20"/>
      <c r="F890" s="20"/>
      <c r="G890" s="20"/>
      <c r="H890" s="66"/>
      <c r="I890" s="66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142"/>
      <c r="W890" s="141"/>
      <c r="X890" s="74"/>
      <c r="Y890" s="75"/>
      <c r="Z890" s="75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</row>
    <row r="891" spans="1:45" ht="15.75" customHeight="1">
      <c r="A891" s="20"/>
      <c r="B891" s="71"/>
      <c r="C891" s="20"/>
      <c r="D891" s="20"/>
      <c r="E891" s="20"/>
      <c r="F891" s="20"/>
      <c r="G891" s="20"/>
      <c r="H891" s="66"/>
      <c r="I891" s="66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142"/>
      <c r="W891" s="141"/>
      <c r="X891" s="74"/>
      <c r="Y891" s="75"/>
      <c r="Z891" s="75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</row>
    <row r="892" spans="1:45" ht="15.75" customHeight="1">
      <c r="A892" s="20"/>
      <c r="B892" s="71"/>
      <c r="C892" s="20"/>
      <c r="D892" s="20"/>
      <c r="E892" s="20"/>
      <c r="F892" s="20"/>
      <c r="G892" s="20"/>
      <c r="H892" s="66"/>
      <c r="I892" s="66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142"/>
      <c r="W892" s="141"/>
      <c r="X892" s="74"/>
      <c r="Y892" s="75"/>
      <c r="Z892" s="75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</row>
    <row r="893" spans="1:45" ht="15.75" customHeight="1">
      <c r="A893" s="20"/>
      <c r="B893" s="71"/>
      <c r="C893" s="20"/>
      <c r="D893" s="20"/>
      <c r="E893" s="20"/>
      <c r="F893" s="20"/>
      <c r="G893" s="20"/>
      <c r="H893" s="66"/>
      <c r="I893" s="66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142"/>
      <c r="W893" s="141"/>
      <c r="X893" s="74"/>
      <c r="Y893" s="75"/>
      <c r="Z893" s="75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</row>
    <row r="894" spans="1:45" ht="15.75" customHeight="1">
      <c r="A894" s="20"/>
      <c r="B894" s="71"/>
      <c r="C894" s="20"/>
      <c r="D894" s="20"/>
      <c r="E894" s="20"/>
      <c r="F894" s="20"/>
      <c r="G894" s="20"/>
      <c r="H894" s="66"/>
      <c r="I894" s="66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142"/>
      <c r="W894" s="141"/>
      <c r="X894" s="74"/>
      <c r="Y894" s="75"/>
      <c r="Z894" s="75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</row>
    <row r="895" spans="1:45" ht="15.75" customHeight="1">
      <c r="A895" s="20"/>
      <c r="B895" s="71"/>
      <c r="C895" s="20"/>
      <c r="D895" s="20"/>
      <c r="E895" s="20"/>
      <c r="F895" s="20"/>
      <c r="G895" s="20"/>
      <c r="H895" s="66"/>
      <c r="I895" s="66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142"/>
      <c r="W895" s="141"/>
      <c r="X895" s="74"/>
      <c r="Y895" s="75"/>
      <c r="Z895" s="75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</row>
    <row r="896" spans="1:45" ht="15.75" customHeight="1">
      <c r="A896" s="20"/>
      <c r="B896" s="71"/>
      <c r="C896" s="20"/>
      <c r="D896" s="20"/>
      <c r="E896" s="20"/>
      <c r="F896" s="20"/>
      <c r="G896" s="20"/>
      <c r="H896" s="66"/>
      <c r="I896" s="66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142"/>
      <c r="W896" s="141"/>
      <c r="X896" s="74"/>
      <c r="Y896" s="75"/>
      <c r="Z896" s="75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</row>
    <row r="897" spans="1:45" ht="15.75" customHeight="1">
      <c r="A897" s="20"/>
      <c r="B897" s="71"/>
      <c r="C897" s="20"/>
      <c r="D897" s="20"/>
      <c r="E897" s="20"/>
      <c r="F897" s="20"/>
      <c r="G897" s="20"/>
      <c r="H897" s="66"/>
      <c r="I897" s="66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142"/>
      <c r="W897" s="141"/>
      <c r="X897" s="74"/>
      <c r="Y897" s="75"/>
      <c r="Z897" s="75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</row>
    <row r="898" spans="1:45" ht="15.75" customHeight="1">
      <c r="A898" s="20"/>
      <c r="B898" s="71"/>
      <c r="C898" s="20"/>
      <c r="D898" s="20"/>
      <c r="E898" s="20"/>
      <c r="F898" s="20"/>
      <c r="G898" s="20"/>
      <c r="H898" s="66"/>
      <c r="I898" s="66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142"/>
      <c r="W898" s="141"/>
      <c r="X898" s="74"/>
      <c r="Y898" s="75"/>
      <c r="Z898" s="75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</row>
    <row r="899" spans="1:45" ht="15.75" customHeight="1">
      <c r="A899" s="20"/>
      <c r="B899" s="71"/>
      <c r="C899" s="20"/>
      <c r="D899" s="20"/>
      <c r="E899" s="20"/>
      <c r="F899" s="20"/>
      <c r="G899" s="20"/>
      <c r="H899" s="66"/>
      <c r="I899" s="66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142"/>
      <c r="W899" s="141"/>
      <c r="X899" s="74"/>
      <c r="Y899" s="75"/>
      <c r="Z899" s="75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</row>
    <row r="900" spans="1:45" ht="15.75" customHeight="1">
      <c r="A900" s="20"/>
      <c r="B900" s="71"/>
      <c r="C900" s="20"/>
      <c r="D900" s="20"/>
      <c r="E900" s="20"/>
      <c r="F900" s="20"/>
      <c r="G900" s="20"/>
      <c r="H900" s="66"/>
      <c r="I900" s="66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142"/>
      <c r="W900" s="141"/>
      <c r="X900" s="74"/>
      <c r="Y900" s="75"/>
      <c r="Z900" s="75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</row>
    <row r="901" spans="1:45" ht="15.75" customHeight="1">
      <c r="A901" s="20"/>
      <c r="B901" s="71"/>
      <c r="C901" s="20"/>
      <c r="D901" s="20"/>
      <c r="E901" s="20"/>
      <c r="F901" s="20"/>
      <c r="G901" s="20"/>
      <c r="H901" s="66"/>
      <c r="I901" s="66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142"/>
      <c r="W901" s="141"/>
      <c r="X901" s="74"/>
      <c r="Y901" s="75"/>
      <c r="Z901" s="75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</row>
    <row r="902" spans="1:45" ht="15.75" customHeight="1">
      <c r="A902" s="20"/>
      <c r="B902" s="71"/>
      <c r="C902" s="20"/>
      <c r="D902" s="20"/>
      <c r="E902" s="20"/>
      <c r="F902" s="20"/>
      <c r="G902" s="20"/>
      <c r="H902" s="66"/>
      <c r="I902" s="66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142"/>
      <c r="W902" s="141"/>
      <c r="X902" s="74"/>
      <c r="Y902" s="75"/>
      <c r="Z902" s="75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</row>
    <row r="903" spans="1:45" ht="15.75" customHeight="1">
      <c r="A903" s="20"/>
      <c r="B903" s="71"/>
      <c r="C903" s="20"/>
      <c r="D903" s="20"/>
      <c r="E903" s="20"/>
      <c r="F903" s="20"/>
      <c r="G903" s="20"/>
      <c r="H903" s="66"/>
      <c r="I903" s="66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142"/>
      <c r="W903" s="141"/>
      <c r="X903" s="74"/>
      <c r="Y903" s="75"/>
      <c r="Z903" s="75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</row>
    <row r="904" spans="1:45" ht="15.75" customHeight="1">
      <c r="A904" s="20"/>
      <c r="B904" s="71"/>
      <c r="C904" s="20"/>
      <c r="D904" s="20"/>
      <c r="E904" s="20"/>
      <c r="F904" s="20"/>
      <c r="G904" s="20"/>
      <c r="H904" s="66"/>
      <c r="I904" s="66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142"/>
      <c r="W904" s="141"/>
      <c r="X904" s="74"/>
      <c r="Y904" s="75"/>
      <c r="Z904" s="75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</row>
    <row r="905" spans="1:45" ht="15.75" customHeight="1">
      <c r="A905" s="20"/>
      <c r="B905" s="71"/>
      <c r="C905" s="20"/>
      <c r="D905" s="20"/>
      <c r="E905" s="20"/>
      <c r="F905" s="20"/>
      <c r="G905" s="20"/>
      <c r="H905" s="66"/>
      <c r="I905" s="66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142"/>
      <c r="W905" s="141"/>
      <c r="X905" s="74"/>
      <c r="Y905" s="75"/>
      <c r="Z905" s="75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</row>
    <row r="906" spans="1:45" ht="15.75" customHeight="1">
      <c r="A906" s="20"/>
      <c r="B906" s="71"/>
      <c r="C906" s="20"/>
      <c r="D906" s="20"/>
      <c r="E906" s="20"/>
      <c r="F906" s="20"/>
      <c r="G906" s="20"/>
      <c r="H906" s="66"/>
      <c r="I906" s="66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142"/>
      <c r="W906" s="141"/>
      <c r="X906" s="74"/>
      <c r="Y906" s="75"/>
      <c r="Z906" s="75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</row>
    <row r="907" spans="1:45" ht="15.75" customHeight="1">
      <c r="A907" s="20"/>
      <c r="B907" s="71"/>
      <c r="C907" s="20"/>
      <c r="D907" s="20"/>
      <c r="E907" s="20"/>
      <c r="F907" s="20"/>
      <c r="G907" s="20"/>
      <c r="H907" s="66"/>
      <c r="I907" s="66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142"/>
      <c r="W907" s="141"/>
      <c r="X907" s="74"/>
      <c r="Y907" s="75"/>
      <c r="Z907" s="75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</row>
    <row r="908" spans="1:45" ht="15.75" customHeight="1">
      <c r="A908" s="20"/>
      <c r="B908" s="71"/>
      <c r="C908" s="20"/>
      <c r="D908" s="20"/>
      <c r="E908" s="20"/>
      <c r="F908" s="20"/>
      <c r="G908" s="20"/>
      <c r="H908" s="66"/>
      <c r="I908" s="66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142"/>
      <c r="W908" s="141"/>
      <c r="X908" s="74"/>
      <c r="Y908" s="75"/>
      <c r="Z908" s="75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</row>
    <row r="909" spans="1:45" ht="15.75" customHeight="1">
      <c r="A909" s="20"/>
      <c r="B909" s="71"/>
      <c r="C909" s="20"/>
      <c r="D909" s="20"/>
      <c r="E909" s="20"/>
      <c r="F909" s="20"/>
      <c r="G909" s="20"/>
      <c r="H909" s="66"/>
      <c r="I909" s="66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142"/>
      <c r="W909" s="141"/>
      <c r="X909" s="74"/>
      <c r="Y909" s="75"/>
      <c r="Z909" s="75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</row>
    <row r="910" spans="1:45" ht="15.75" customHeight="1">
      <c r="A910" s="20"/>
      <c r="B910" s="71"/>
      <c r="C910" s="20"/>
      <c r="D910" s="20"/>
      <c r="E910" s="20"/>
      <c r="F910" s="20"/>
      <c r="G910" s="20"/>
      <c r="H910" s="66"/>
      <c r="I910" s="66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142"/>
      <c r="W910" s="141"/>
      <c r="X910" s="74"/>
      <c r="Y910" s="75"/>
      <c r="Z910" s="75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</row>
    <row r="911" spans="1:45" ht="15.75" customHeight="1">
      <c r="A911" s="20"/>
      <c r="B911" s="71"/>
      <c r="C911" s="20"/>
      <c r="D911" s="20"/>
      <c r="E911" s="20"/>
      <c r="F911" s="20"/>
      <c r="G911" s="20"/>
      <c r="H911" s="66"/>
      <c r="I911" s="66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142"/>
      <c r="W911" s="141"/>
      <c r="X911" s="74"/>
      <c r="Y911" s="75"/>
      <c r="Z911" s="75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</row>
    <row r="912" spans="1:45" ht="15.75" customHeight="1">
      <c r="A912" s="20"/>
      <c r="B912" s="71"/>
      <c r="C912" s="20"/>
      <c r="D912" s="20"/>
      <c r="E912" s="20"/>
      <c r="F912" s="20"/>
      <c r="G912" s="20"/>
      <c r="H912" s="66"/>
      <c r="I912" s="66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142"/>
      <c r="W912" s="141"/>
      <c r="X912" s="74"/>
      <c r="Y912" s="75"/>
      <c r="Z912" s="75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</row>
    <row r="913" spans="1:45" ht="15.75" customHeight="1">
      <c r="A913" s="20"/>
      <c r="B913" s="71"/>
      <c r="C913" s="20"/>
      <c r="D913" s="20"/>
      <c r="E913" s="20"/>
      <c r="F913" s="20"/>
      <c r="G913" s="20"/>
      <c r="H913" s="66"/>
      <c r="I913" s="66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142"/>
      <c r="W913" s="141"/>
      <c r="X913" s="74"/>
      <c r="Y913" s="75"/>
      <c r="Z913" s="75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</row>
    <row r="914" spans="1:45" ht="15.75" customHeight="1">
      <c r="A914" s="20"/>
      <c r="B914" s="71"/>
      <c r="C914" s="20"/>
      <c r="D914" s="20"/>
      <c r="E914" s="20"/>
      <c r="F914" s="20"/>
      <c r="G914" s="20"/>
      <c r="H914" s="66"/>
      <c r="I914" s="66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142"/>
      <c r="W914" s="141"/>
      <c r="X914" s="74"/>
      <c r="Y914" s="75"/>
      <c r="Z914" s="75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</row>
    <row r="915" spans="1:45" ht="15.75" customHeight="1">
      <c r="A915" s="20"/>
      <c r="B915" s="71"/>
      <c r="C915" s="20"/>
      <c r="D915" s="20"/>
      <c r="E915" s="20"/>
      <c r="F915" s="20"/>
      <c r="G915" s="20"/>
      <c r="H915" s="66"/>
      <c r="I915" s="66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142"/>
      <c r="W915" s="141"/>
      <c r="X915" s="74"/>
      <c r="Y915" s="75"/>
      <c r="Z915" s="75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</row>
    <row r="916" spans="1:45" ht="15.75" customHeight="1">
      <c r="A916" s="20"/>
      <c r="B916" s="71"/>
      <c r="C916" s="20"/>
      <c r="D916" s="20"/>
      <c r="E916" s="20"/>
      <c r="F916" s="20"/>
      <c r="G916" s="20"/>
      <c r="H916" s="66"/>
      <c r="I916" s="66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142"/>
      <c r="W916" s="141"/>
      <c r="X916" s="74"/>
      <c r="Y916" s="75"/>
      <c r="Z916" s="75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</row>
    <row r="917" spans="1:45" ht="15.75" customHeight="1">
      <c r="A917" s="20"/>
      <c r="B917" s="71"/>
      <c r="C917" s="20"/>
      <c r="D917" s="20"/>
      <c r="E917" s="20"/>
      <c r="F917" s="20"/>
      <c r="G917" s="20"/>
      <c r="H917" s="66"/>
      <c r="I917" s="66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142"/>
      <c r="W917" s="141"/>
      <c r="X917" s="74"/>
      <c r="Y917" s="75"/>
      <c r="Z917" s="75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</row>
    <row r="918" spans="1:45" ht="15.75" customHeight="1">
      <c r="A918" s="20"/>
      <c r="B918" s="71"/>
      <c r="C918" s="20"/>
      <c r="D918" s="20"/>
      <c r="E918" s="20"/>
      <c r="F918" s="20"/>
      <c r="G918" s="20"/>
      <c r="H918" s="66"/>
      <c r="I918" s="66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142"/>
      <c r="W918" s="141"/>
      <c r="X918" s="74"/>
      <c r="Y918" s="75"/>
      <c r="Z918" s="75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</row>
    <row r="919" spans="1:45" ht="15.75" customHeight="1">
      <c r="A919" s="20"/>
      <c r="B919" s="71"/>
      <c r="C919" s="20"/>
      <c r="D919" s="20"/>
      <c r="E919" s="20"/>
      <c r="F919" s="20"/>
      <c r="G919" s="20"/>
      <c r="H919" s="66"/>
      <c r="I919" s="66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142"/>
      <c r="W919" s="141"/>
      <c r="X919" s="74"/>
      <c r="Y919" s="75"/>
      <c r="Z919" s="75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</row>
    <row r="920" spans="1:45" ht="15.75" customHeight="1">
      <c r="A920" s="20"/>
      <c r="B920" s="71"/>
      <c r="C920" s="20"/>
      <c r="D920" s="20"/>
      <c r="E920" s="20"/>
      <c r="F920" s="20"/>
      <c r="G920" s="20"/>
      <c r="H920" s="66"/>
      <c r="I920" s="66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142"/>
      <c r="W920" s="141"/>
      <c r="X920" s="74"/>
      <c r="Y920" s="75"/>
      <c r="Z920" s="75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</row>
    <row r="921" spans="1:45" ht="15.75" customHeight="1">
      <c r="A921" s="20"/>
      <c r="B921" s="71"/>
      <c r="C921" s="20"/>
      <c r="D921" s="20"/>
      <c r="E921" s="20"/>
      <c r="F921" s="20"/>
      <c r="G921" s="20"/>
      <c r="H921" s="66"/>
      <c r="I921" s="66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142"/>
      <c r="W921" s="141"/>
      <c r="X921" s="74"/>
      <c r="Y921" s="75"/>
      <c r="Z921" s="75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</row>
    <row r="922" spans="1:45" ht="15.75" customHeight="1">
      <c r="A922" s="20"/>
      <c r="B922" s="71"/>
      <c r="C922" s="20"/>
      <c r="D922" s="20"/>
      <c r="E922" s="20"/>
      <c r="F922" s="20"/>
      <c r="G922" s="20"/>
      <c r="H922" s="66"/>
      <c r="I922" s="66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142"/>
      <c r="W922" s="141"/>
      <c r="X922" s="74"/>
      <c r="Y922" s="75"/>
      <c r="Z922" s="75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</row>
    <row r="923" spans="1:45" ht="15.75" customHeight="1">
      <c r="A923" s="20"/>
      <c r="B923" s="71"/>
      <c r="C923" s="20"/>
      <c r="D923" s="20"/>
      <c r="E923" s="20"/>
      <c r="F923" s="20"/>
      <c r="G923" s="20"/>
      <c r="H923" s="66"/>
      <c r="I923" s="66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142"/>
      <c r="W923" s="141"/>
      <c r="X923" s="74"/>
      <c r="Y923" s="75"/>
      <c r="Z923" s="75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</row>
    <row r="924" spans="1:45" ht="15.75" customHeight="1">
      <c r="A924" s="20"/>
      <c r="B924" s="71"/>
      <c r="C924" s="20"/>
      <c r="D924" s="20"/>
      <c r="E924" s="20"/>
      <c r="F924" s="20"/>
      <c r="G924" s="20"/>
      <c r="H924" s="66"/>
      <c r="I924" s="66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142"/>
      <c r="W924" s="141"/>
      <c r="X924" s="74"/>
      <c r="Y924" s="75"/>
      <c r="Z924" s="75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</row>
    <row r="925" spans="1:45" ht="15.75" customHeight="1">
      <c r="A925" s="20"/>
      <c r="B925" s="71"/>
      <c r="C925" s="20"/>
      <c r="D925" s="20"/>
      <c r="E925" s="20"/>
      <c r="F925" s="20"/>
      <c r="G925" s="20"/>
      <c r="H925" s="66"/>
      <c r="I925" s="66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142"/>
      <c r="W925" s="141"/>
      <c r="X925" s="74"/>
      <c r="Y925" s="75"/>
      <c r="Z925" s="75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</row>
    <row r="926" spans="1:45" ht="15.75" customHeight="1">
      <c r="A926" s="20"/>
      <c r="B926" s="71"/>
      <c r="C926" s="20"/>
      <c r="D926" s="20"/>
      <c r="E926" s="20"/>
      <c r="F926" s="20"/>
      <c r="G926" s="20"/>
      <c r="H926" s="66"/>
      <c r="I926" s="66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142"/>
      <c r="W926" s="141"/>
      <c r="X926" s="74"/>
      <c r="Y926" s="75"/>
      <c r="Z926" s="75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</row>
    <row r="927" spans="1:45" ht="15.75" customHeight="1">
      <c r="A927" s="20"/>
      <c r="B927" s="71"/>
      <c r="C927" s="20"/>
      <c r="D927" s="20"/>
      <c r="E927" s="20"/>
      <c r="F927" s="20"/>
      <c r="G927" s="20"/>
      <c r="H927" s="66"/>
      <c r="I927" s="66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142"/>
      <c r="W927" s="141"/>
      <c r="X927" s="74"/>
      <c r="Y927" s="75"/>
      <c r="Z927" s="75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</row>
    <row r="928" spans="1:45" ht="15.75" customHeight="1">
      <c r="A928" s="20"/>
      <c r="B928" s="71"/>
      <c r="C928" s="20"/>
      <c r="D928" s="20"/>
      <c r="E928" s="20"/>
      <c r="F928" s="20"/>
      <c r="G928" s="20"/>
      <c r="H928" s="66"/>
      <c r="I928" s="66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142"/>
      <c r="W928" s="141"/>
      <c r="X928" s="74"/>
      <c r="Y928" s="75"/>
      <c r="Z928" s="75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</row>
    <row r="929" spans="1:45" ht="15.75" customHeight="1">
      <c r="A929" s="20"/>
      <c r="B929" s="71"/>
      <c r="C929" s="20"/>
      <c r="D929" s="20"/>
      <c r="E929" s="20"/>
      <c r="F929" s="20"/>
      <c r="G929" s="20"/>
      <c r="H929" s="66"/>
      <c r="I929" s="66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142"/>
      <c r="W929" s="141"/>
      <c r="X929" s="74"/>
      <c r="Y929" s="75"/>
      <c r="Z929" s="75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</row>
    <row r="930" spans="1:45" ht="15.75" customHeight="1">
      <c r="A930" s="20"/>
      <c r="B930" s="71"/>
      <c r="C930" s="20"/>
      <c r="D930" s="20"/>
      <c r="E930" s="20"/>
      <c r="F930" s="20"/>
      <c r="G930" s="20"/>
      <c r="H930" s="66"/>
      <c r="I930" s="66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142"/>
      <c r="W930" s="141"/>
      <c r="X930" s="74"/>
      <c r="Y930" s="75"/>
      <c r="Z930" s="75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</row>
    <row r="931" spans="1:45" ht="15.75" customHeight="1">
      <c r="A931" s="20"/>
      <c r="B931" s="71"/>
      <c r="C931" s="20"/>
      <c r="D931" s="20"/>
      <c r="E931" s="20"/>
      <c r="F931" s="20"/>
      <c r="G931" s="20"/>
      <c r="H931" s="66"/>
      <c r="I931" s="66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142"/>
      <c r="W931" s="141"/>
      <c r="X931" s="74"/>
      <c r="Y931" s="75"/>
      <c r="Z931" s="75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</row>
    <row r="932" spans="1:45" ht="15.75" customHeight="1">
      <c r="A932" s="20"/>
      <c r="B932" s="71"/>
      <c r="C932" s="20"/>
      <c r="D932" s="20"/>
      <c r="E932" s="20"/>
      <c r="F932" s="20"/>
      <c r="G932" s="20"/>
      <c r="H932" s="66"/>
      <c r="I932" s="66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142"/>
      <c r="W932" s="141"/>
      <c r="X932" s="74"/>
      <c r="Y932" s="75"/>
      <c r="Z932" s="75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</row>
    <row r="933" spans="1:45" ht="15.75" customHeight="1">
      <c r="A933" s="20"/>
      <c r="B933" s="71"/>
      <c r="C933" s="20"/>
      <c r="D933" s="20"/>
      <c r="E933" s="20"/>
      <c r="F933" s="20"/>
      <c r="G933" s="20"/>
      <c r="H933" s="66"/>
      <c r="I933" s="66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142"/>
      <c r="W933" s="141"/>
      <c r="X933" s="74"/>
      <c r="Y933" s="75"/>
      <c r="Z933" s="75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</row>
    <row r="934" spans="1:45" ht="15.75" customHeight="1">
      <c r="A934" s="20"/>
      <c r="B934" s="71"/>
      <c r="C934" s="20"/>
      <c r="D934" s="20"/>
      <c r="E934" s="20"/>
      <c r="F934" s="20"/>
      <c r="G934" s="20"/>
      <c r="H934" s="66"/>
      <c r="I934" s="66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142"/>
      <c r="W934" s="141"/>
      <c r="X934" s="74"/>
      <c r="Y934" s="75"/>
      <c r="Z934" s="75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</row>
    <row r="935" spans="1:45" ht="15.75" customHeight="1">
      <c r="A935" s="20"/>
      <c r="B935" s="71"/>
      <c r="C935" s="20"/>
      <c r="D935" s="20"/>
      <c r="E935" s="20"/>
      <c r="F935" s="20"/>
      <c r="G935" s="20"/>
      <c r="H935" s="66"/>
      <c r="I935" s="66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142"/>
      <c r="W935" s="141"/>
      <c r="X935" s="74"/>
      <c r="Y935" s="75"/>
      <c r="Z935" s="75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</row>
    <row r="936" spans="1:45" ht="15.75" customHeight="1">
      <c r="A936" s="20"/>
      <c r="B936" s="71"/>
      <c r="C936" s="20"/>
      <c r="D936" s="20"/>
      <c r="E936" s="20"/>
      <c r="F936" s="20"/>
      <c r="G936" s="20"/>
      <c r="H936" s="66"/>
      <c r="I936" s="66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142"/>
      <c r="W936" s="141"/>
      <c r="X936" s="74"/>
      <c r="Y936" s="75"/>
      <c r="Z936" s="75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</row>
    <row r="937" spans="1:45" ht="15.75" customHeight="1">
      <c r="A937" s="20"/>
      <c r="B937" s="71"/>
      <c r="C937" s="20"/>
      <c r="D937" s="20"/>
      <c r="E937" s="20"/>
      <c r="F937" s="20"/>
      <c r="G937" s="20"/>
      <c r="H937" s="66"/>
      <c r="I937" s="66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142"/>
      <c r="W937" s="141"/>
      <c r="X937" s="74"/>
      <c r="Y937" s="75"/>
      <c r="Z937" s="75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</row>
    <row r="938" spans="1:45" ht="15.75" customHeight="1">
      <c r="A938" s="20"/>
      <c r="B938" s="71"/>
      <c r="C938" s="20"/>
      <c r="D938" s="20"/>
      <c r="E938" s="20"/>
      <c r="F938" s="20"/>
      <c r="G938" s="20"/>
      <c r="H938" s="66"/>
      <c r="I938" s="66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142"/>
      <c r="W938" s="141"/>
      <c r="X938" s="74"/>
      <c r="Y938" s="75"/>
      <c r="Z938" s="75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</row>
    <row r="939" spans="1:45" ht="15.75" customHeight="1">
      <c r="A939" s="20"/>
      <c r="B939" s="71"/>
      <c r="C939" s="20"/>
      <c r="D939" s="20"/>
      <c r="E939" s="20"/>
      <c r="F939" s="20"/>
      <c r="G939" s="20"/>
      <c r="H939" s="66"/>
      <c r="I939" s="66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142"/>
      <c r="W939" s="141"/>
      <c r="X939" s="74"/>
      <c r="Y939" s="75"/>
      <c r="Z939" s="75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</row>
    <row r="940" spans="1:45" ht="15.75" customHeight="1">
      <c r="A940" s="20"/>
      <c r="B940" s="71"/>
      <c r="C940" s="20"/>
      <c r="D940" s="20"/>
      <c r="E940" s="20"/>
      <c r="F940" s="20"/>
      <c r="G940" s="20"/>
      <c r="H940" s="66"/>
      <c r="I940" s="66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142"/>
      <c r="W940" s="141"/>
      <c r="X940" s="74"/>
      <c r="Y940" s="75"/>
      <c r="Z940" s="75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</row>
    <row r="941" spans="1:45" ht="15.75" customHeight="1">
      <c r="A941" s="20"/>
      <c r="B941" s="71"/>
      <c r="C941" s="20"/>
      <c r="D941" s="20"/>
      <c r="E941" s="20"/>
      <c r="F941" s="20"/>
      <c r="G941" s="20"/>
      <c r="H941" s="66"/>
      <c r="I941" s="66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142"/>
      <c r="W941" s="141"/>
      <c r="X941" s="74"/>
      <c r="Y941" s="75"/>
      <c r="Z941" s="75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</row>
    <row r="942" spans="1:45" ht="15.75" customHeight="1">
      <c r="A942" s="20"/>
      <c r="B942" s="71"/>
      <c r="C942" s="20"/>
      <c r="D942" s="20"/>
      <c r="E942" s="20"/>
      <c r="F942" s="20"/>
      <c r="G942" s="20"/>
      <c r="H942" s="66"/>
      <c r="I942" s="66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142"/>
      <c r="W942" s="141"/>
      <c r="X942" s="74"/>
      <c r="Y942" s="75"/>
      <c r="Z942" s="75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</row>
    <row r="943" spans="1:45" ht="15.75" customHeight="1">
      <c r="A943" s="20"/>
      <c r="B943" s="71"/>
      <c r="C943" s="20"/>
      <c r="D943" s="20"/>
      <c r="E943" s="20"/>
      <c r="F943" s="20"/>
      <c r="G943" s="20"/>
      <c r="H943" s="66"/>
      <c r="I943" s="66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142"/>
      <c r="W943" s="141"/>
      <c r="X943" s="74"/>
      <c r="Y943" s="75"/>
      <c r="Z943" s="75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</row>
    <row r="944" spans="1:45" ht="15.75" customHeight="1">
      <c r="A944" s="20"/>
      <c r="B944" s="71"/>
      <c r="C944" s="20"/>
      <c r="D944" s="20"/>
      <c r="E944" s="20"/>
      <c r="F944" s="20"/>
      <c r="G944" s="20"/>
      <c r="H944" s="66"/>
      <c r="I944" s="66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142"/>
      <c r="W944" s="141"/>
      <c r="X944" s="74"/>
      <c r="Y944" s="75"/>
      <c r="Z944" s="75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</row>
    <row r="945" spans="1:45" ht="15.75" customHeight="1">
      <c r="A945" s="20"/>
      <c r="B945" s="71"/>
      <c r="C945" s="20"/>
      <c r="D945" s="20"/>
      <c r="E945" s="20"/>
      <c r="F945" s="20"/>
      <c r="G945" s="20"/>
      <c r="H945" s="66"/>
      <c r="I945" s="66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142"/>
      <c r="W945" s="141"/>
      <c r="X945" s="74"/>
      <c r="Y945" s="75"/>
      <c r="Z945" s="75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</row>
    <row r="946" spans="1:45" ht="15.75" customHeight="1">
      <c r="A946" s="20"/>
      <c r="B946" s="71"/>
      <c r="C946" s="20"/>
      <c r="D946" s="20"/>
      <c r="E946" s="20"/>
      <c r="F946" s="20"/>
      <c r="G946" s="20"/>
      <c r="H946" s="66"/>
      <c r="I946" s="66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142"/>
      <c r="W946" s="141"/>
      <c r="X946" s="74"/>
      <c r="Y946" s="75"/>
      <c r="Z946" s="75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</row>
    <row r="947" spans="1:45" ht="15.75" customHeight="1">
      <c r="A947" s="20"/>
      <c r="B947" s="71"/>
      <c r="C947" s="20"/>
      <c r="D947" s="20"/>
      <c r="E947" s="20"/>
      <c r="F947" s="20"/>
      <c r="G947" s="20"/>
      <c r="H947" s="66"/>
      <c r="I947" s="66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142"/>
      <c r="W947" s="141"/>
      <c r="X947" s="74"/>
      <c r="Y947" s="75"/>
      <c r="Z947" s="75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</row>
    <row r="948" spans="1:45" ht="15.75" customHeight="1">
      <c r="A948" s="20"/>
      <c r="B948" s="71"/>
      <c r="C948" s="20"/>
      <c r="D948" s="20"/>
      <c r="E948" s="20"/>
      <c r="F948" s="20"/>
      <c r="G948" s="20"/>
      <c r="H948" s="66"/>
      <c r="I948" s="66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142"/>
      <c r="W948" s="141"/>
      <c r="X948" s="74"/>
      <c r="Y948" s="75"/>
      <c r="Z948" s="75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</row>
    <row r="949" spans="1:45" ht="15.75" customHeight="1">
      <c r="A949" s="20"/>
      <c r="B949" s="71"/>
      <c r="C949" s="20"/>
      <c r="D949" s="20"/>
      <c r="E949" s="20"/>
      <c r="F949" s="20"/>
      <c r="G949" s="20"/>
      <c r="H949" s="66"/>
      <c r="I949" s="66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142"/>
      <c r="W949" s="141"/>
      <c r="X949" s="74"/>
      <c r="Y949" s="75"/>
      <c r="Z949" s="75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</row>
    <row r="950" spans="1:45" ht="15.75" customHeight="1">
      <c r="A950" s="20"/>
      <c r="B950" s="71"/>
      <c r="C950" s="20"/>
      <c r="D950" s="20"/>
      <c r="E950" s="20"/>
      <c r="F950" s="20"/>
      <c r="G950" s="20"/>
      <c r="H950" s="66"/>
      <c r="I950" s="66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142"/>
      <c r="W950" s="141"/>
      <c r="X950" s="74"/>
      <c r="Y950" s="75"/>
      <c r="Z950" s="75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</row>
    <row r="951" spans="1:45" ht="15.75" customHeight="1">
      <c r="A951" s="20"/>
      <c r="B951" s="71"/>
      <c r="C951" s="20"/>
      <c r="D951" s="20"/>
      <c r="E951" s="20"/>
      <c r="F951" s="20"/>
      <c r="G951" s="20"/>
      <c r="H951" s="66"/>
      <c r="I951" s="66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142"/>
      <c r="W951" s="141"/>
      <c r="X951" s="74"/>
      <c r="Y951" s="75"/>
      <c r="Z951" s="75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</row>
    <row r="952" spans="1:45" ht="15.75" customHeight="1">
      <c r="A952" s="20"/>
      <c r="B952" s="71"/>
      <c r="C952" s="20"/>
      <c r="D952" s="20"/>
      <c r="E952" s="20"/>
      <c r="F952" s="20"/>
      <c r="G952" s="20"/>
      <c r="H952" s="66"/>
      <c r="I952" s="66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142"/>
      <c r="W952" s="141"/>
      <c r="X952" s="74"/>
      <c r="Y952" s="75"/>
      <c r="Z952" s="75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</row>
    <row r="953" spans="1:45" ht="15.75" customHeight="1">
      <c r="A953" s="20"/>
      <c r="B953" s="71"/>
      <c r="C953" s="20"/>
      <c r="D953" s="20"/>
      <c r="E953" s="20"/>
      <c r="F953" s="20"/>
      <c r="G953" s="20"/>
      <c r="H953" s="66"/>
      <c r="I953" s="66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142"/>
      <c r="W953" s="141"/>
      <c r="X953" s="74"/>
      <c r="Y953" s="75"/>
      <c r="Z953" s="75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</row>
    <row r="954" spans="1:45" ht="15.75" customHeight="1">
      <c r="A954" s="20"/>
      <c r="B954" s="71"/>
      <c r="C954" s="20"/>
      <c r="D954" s="20"/>
      <c r="E954" s="20"/>
      <c r="F954" s="20"/>
      <c r="G954" s="20"/>
      <c r="H954" s="66"/>
      <c r="I954" s="66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142"/>
      <c r="W954" s="141"/>
      <c r="X954" s="74"/>
      <c r="Y954" s="75"/>
      <c r="Z954" s="75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</row>
    <row r="955" spans="1:45" ht="15.75" customHeight="1">
      <c r="A955" s="20"/>
      <c r="B955" s="71"/>
      <c r="C955" s="20"/>
      <c r="D955" s="20"/>
      <c r="E955" s="20"/>
      <c r="F955" s="20"/>
      <c r="G955" s="20"/>
      <c r="H955" s="66"/>
      <c r="I955" s="66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142"/>
      <c r="W955" s="141"/>
      <c r="X955" s="74"/>
      <c r="Y955" s="75"/>
      <c r="Z955" s="75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</row>
    <row r="956" spans="1:45" ht="15.75" customHeight="1">
      <c r="A956" s="20"/>
      <c r="B956" s="71"/>
      <c r="C956" s="20"/>
      <c r="D956" s="20"/>
      <c r="E956" s="20"/>
      <c r="F956" s="20"/>
      <c r="G956" s="20"/>
      <c r="H956" s="66"/>
      <c r="I956" s="66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142"/>
      <c r="W956" s="141"/>
      <c r="X956" s="74"/>
      <c r="Y956" s="75"/>
      <c r="Z956" s="75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</row>
    <row r="957" spans="1:45" ht="15.75" customHeight="1">
      <c r="A957" s="20"/>
      <c r="B957" s="71"/>
      <c r="C957" s="20"/>
      <c r="D957" s="20"/>
      <c r="E957" s="20"/>
      <c r="F957" s="20"/>
      <c r="G957" s="20"/>
      <c r="H957" s="66"/>
      <c r="I957" s="66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142"/>
      <c r="W957" s="141"/>
      <c r="X957" s="74"/>
      <c r="Y957" s="75"/>
      <c r="Z957" s="75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</row>
    <row r="958" spans="1:45" ht="15.75" customHeight="1">
      <c r="A958" s="20"/>
      <c r="B958" s="71"/>
      <c r="C958" s="20"/>
      <c r="D958" s="20"/>
      <c r="E958" s="20"/>
      <c r="F958" s="20"/>
      <c r="G958" s="20"/>
      <c r="H958" s="66"/>
      <c r="I958" s="66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142"/>
      <c r="W958" s="141"/>
      <c r="X958" s="74"/>
      <c r="Y958" s="75"/>
      <c r="Z958" s="75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</row>
    <row r="959" spans="1:45" ht="15.75" customHeight="1">
      <c r="A959" s="20"/>
      <c r="B959" s="71"/>
      <c r="C959" s="20"/>
      <c r="D959" s="20"/>
      <c r="E959" s="20"/>
      <c r="F959" s="20"/>
      <c r="G959" s="20"/>
      <c r="H959" s="66"/>
      <c r="I959" s="66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142"/>
      <c r="W959" s="141"/>
      <c r="X959" s="74"/>
      <c r="Y959" s="75"/>
      <c r="Z959" s="75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</row>
    <row r="960" spans="1:45" ht="15.75" customHeight="1">
      <c r="A960" s="20"/>
      <c r="B960" s="71"/>
      <c r="C960" s="20"/>
      <c r="D960" s="20"/>
      <c r="E960" s="20"/>
      <c r="F960" s="20"/>
      <c r="G960" s="20"/>
      <c r="H960" s="66"/>
      <c r="I960" s="66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142"/>
      <c r="W960" s="141"/>
      <c r="X960" s="74"/>
      <c r="Y960" s="75"/>
      <c r="Z960" s="75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</row>
    <row r="961" spans="1:45" ht="15.75" customHeight="1">
      <c r="A961" s="20"/>
      <c r="B961" s="71"/>
      <c r="C961" s="20"/>
      <c r="D961" s="20"/>
      <c r="E961" s="20"/>
      <c r="F961" s="20"/>
      <c r="G961" s="20"/>
      <c r="H961" s="66"/>
      <c r="I961" s="66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142"/>
      <c r="W961" s="141"/>
      <c r="X961" s="74"/>
      <c r="Y961" s="75"/>
      <c r="Z961" s="75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</row>
    <row r="962" spans="1:45" ht="15.75" customHeight="1">
      <c r="A962" s="20"/>
      <c r="B962" s="71"/>
      <c r="C962" s="20"/>
      <c r="D962" s="20"/>
      <c r="E962" s="20"/>
      <c r="F962" s="20"/>
      <c r="G962" s="20"/>
      <c r="H962" s="66"/>
      <c r="I962" s="66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142"/>
      <c r="W962" s="141"/>
      <c r="X962" s="74"/>
      <c r="Y962" s="75"/>
      <c r="Z962" s="75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</row>
    <row r="963" spans="1:45" ht="15.75" customHeight="1">
      <c r="A963" s="20"/>
      <c r="B963" s="71"/>
      <c r="C963" s="20"/>
      <c r="D963" s="20"/>
      <c r="E963" s="20"/>
      <c r="F963" s="20"/>
      <c r="G963" s="20"/>
      <c r="H963" s="66"/>
      <c r="I963" s="66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142"/>
      <c r="W963" s="141"/>
      <c r="X963" s="74"/>
      <c r="Y963" s="75"/>
      <c r="Z963" s="75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</row>
    <row r="964" spans="1:45" ht="15.75" customHeight="1">
      <c r="A964" s="20"/>
      <c r="B964" s="71"/>
      <c r="C964" s="20"/>
      <c r="D964" s="20"/>
      <c r="E964" s="20"/>
      <c r="F964" s="20"/>
      <c r="G964" s="20"/>
      <c r="H964" s="66"/>
      <c r="I964" s="66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142"/>
      <c r="W964" s="141"/>
      <c r="X964" s="74"/>
      <c r="Y964" s="75"/>
      <c r="Z964" s="75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</row>
    <row r="965" spans="1:45" ht="15.75" customHeight="1">
      <c r="A965" s="20"/>
      <c r="B965" s="71"/>
      <c r="C965" s="20"/>
      <c r="D965" s="20"/>
      <c r="E965" s="20"/>
      <c r="F965" s="20"/>
      <c r="G965" s="20"/>
      <c r="H965" s="66"/>
      <c r="I965" s="66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142"/>
      <c r="W965" s="141"/>
      <c r="X965" s="74"/>
      <c r="Y965" s="75"/>
      <c r="Z965" s="75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</row>
    <row r="966" spans="1:45" ht="15.75" customHeight="1">
      <c r="A966" s="20"/>
      <c r="B966" s="71"/>
      <c r="C966" s="20"/>
      <c r="D966" s="20"/>
      <c r="E966" s="20"/>
      <c r="F966" s="20"/>
      <c r="G966" s="20"/>
      <c r="H966" s="66"/>
      <c r="I966" s="66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142"/>
      <c r="W966" s="141"/>
      <c r="X966" s="74"/>
      <c r="Y966" s="75"/>
      <c r="Z966" s="75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</row>
    <row r="967" spans="1:45" ht="15.75" customHeight="1">
      <c r="A967" s="20"/>
      <c r="B967" s="71"/>
      <c r="C967" s="20"/>
      <c r="D967" s="20"/>
      <c r="E967" s="20"/>
      <c r="F967" s="20"/>
      <c r="G967" s="20"/>
      <c r="H967" s="66"/>
      <c r="I967" s="66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142"/>
      <c r="W967" s="141"/>
      <c r="X967" s="74"/>
      <c r="Y967" s="75"/>
      <c r="Z967" s="75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</row>
    <row r="968" spans="1:45" ht="15.75" customHeight="1">
      <c r="A968" s="20"/>
      <c r="B968" s="71"/>
      <c r="C968" s="20"/>
      <c r="D968" s="20"/>
      <c r="E968" s="20"/>
      <c r="F968" s="20"/>
      <c r="G968" s="20"/>
      <c r="H968" s="66"/>
      <c r="I968" s="66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142"/>
      <c r="W968" s="141"/>
      <c r="X968" s="74"/>
      <c r="Y968" s="75"/>
      <c r="Z968" s="75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</row>
    <row r="969" spans="1:45" ht="15.75" customHeight="1">
      <c r="A969" s="20"/>
      <c r="B969" s="71"/>
      <c r="C969" s="20"/>
      <c r="D969" s="20"/>
      <c r="E969" s="20"/>
      <c r="F969" s="20"/>
      <c r="G969" s="20"/>
      <c r="H969" s="66"/>
      <c r="I969" s="66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142"/>
      <c r="W969" s="141"/>
      <c r="X969" s="74"/>
      <c r="Y969" s="75"/>
      <c r="Z969" s="75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</row>
    <row r="970" spans="1:45" ht="15.75" customHeight="1">
      <c r="A970" s="20"/>
      <c r="B970" s="71"/>
      <c r="C970" s="20"/>
      <c r="D970" s="20"/>
      <c r="E970" s="20"/>
      <c r="F970" s="20"/>
      <c r="G970" s="20"/>
      <c r="H970" s="66"/>
      <c r="I970" s="66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142"/>
      <c r="W970" s="141"/>
      <c r="X970" s="74"/>
      <c r="Y970" s="75"/>
      <c r="Z970" s="75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</row>
    <row r="971" spans="1:45" ht="15.75" customHeight="1">
      <c r="A971" s="20"/>
      <c r="B971" s="71"/>
      <c r="C971" s="20"/>
      <c r="D971" s="20"/>
      <c r="E971" s="20"/>
      <c r="F971" s="20"/>
      <c r="G971" s="20"/>
      <c r="H971" s="66"/>
      <c r="I971" s="66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142"/>
      <c r="W971" s="141"/>
      <c r="X971" s="74"/>
      <c r="Y971" s="75"/>
      <c r="Z971" s="75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</row>
    <row r="972" spans="1:45" ht="15.75" customHeight="1">
      <c r="A972" s="20"/>
      <c r="B972" s="71"/>
      <c r="C972" s="20"/>
      <c r="D972" s="20"/>
      <c r="E972" s="20"/>
      <c r="F972" s="20"/>
      <c r="G972" s="20"/>
      <c r="H972" s="66"/>
      <c r="I972" s="66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142"/>
      <c r="W972" s="141"/>
      <c r="X972" s="74"/>
      <c r="Y972" s="75"/>
      <c r="Z972" s="75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</row>
    <row r="973" spans="1:45" ht="15.75" customHeight="1">
      <c r="A973" s="20"/>
      <c r="B973" s="71"/>
      <c r="C973" s="20"/>
      <c r="D973" s="20"/>
      <c r="E973" s="20"/>
      <c r="F973" s="20"/>
      <c r="G973" s="20"/>
      <c r="H973" s="66"/>
      <c r="I973" s="66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142"/>
      <c r="W973" s="141"/>
      <c r="X973" s="74"/>
      <c r="Y973" s="75"/>
      <c r="Z973" s="75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</row>
    <row r="974" spans="1:45" ht="15.75" customHeight="1">
      <c r="A974" s="20"/>
      <c r="B974" s="71"/>
      <c r="C974" s="20"/>
      <c r="D974" s="20"/>
      <c r="E974" s="20"/>
      <c r="F974" s="20"/>
      <c r="G974" s="20"/>
      <c r="H974" s="66"/>
      <c r="I974" s="66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142"/>
      <c r="W974" s="141"/>
      <c r="X974" s="74"/>
      <c r="Y974" s="75"/>
      <c r="Z974" s="75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</row>
    <row r="975" spans="1:45" ht="15.75" customHeight="1">
      <c r="A975" s="20"/>
      <c r="B975" s="71"/>
      <c r="C975" s="20"/>
      <c r="D975" s="20"/>
      <c r="E975" s="20"/>
      <c r="F975" s="20"/>
      <c r="G975" s="20"/>
      <c r="H975" s="66"/>
      <c r="I975" s="66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142"/>
      <c r="W975" s="141"/>
      <c r="X975" s="74"/>
      <c r="Y975" s="75"/>
      <c r="Z975" s="75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</row>
    <row r="976" spans="1:45" ht="15.75" customHeight="1">
      <c r="A976" s="20"/>
      <c r="B976" s="71"/>
      <c r="C976" s="20"/>
      <c r="D976" s="20"/>
      <c r="E976" s="20"/>
      <c r="F976" s="20"/>
      <c r="G976" s="20"/>
      <c r="H976" s="66"/>
      <c r="I976" s="66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142"/>
      <c r="W976" s="141"/>
      <c r="X976" s="74"/>
      <c r="Y976" s="75"/>
      <c r="Z976" s="75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</row>
    <row r="977" spans="1:45" ht="15.75" customHeight="1">
      <c r="A977" s="20"/>
      <c r="B977" s="71"/>
      <c r="C977" s="20"/>
      <c r="D977" s="20"/>
      <c r="E977" s="20"/>
      <c r="F977" s="20"/>
      <c r="G977" s="20"/>
      <c r="H977" s="66"/>
      <c r="I977" s="66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142"/>
      <c r="W977" s="141"/>
      <c r="X977" s="74"/>
      <c r="Y977" s="75"/>
      <c r="Z977" s="75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</row>
    <row r="978" spans="1:45" ht="15.75" customHeight="1">
      <c r="A978" s="20"/>
      <c r="B978" s="71"/>
      <c r="C978" s="20"/>
      <c r="D978" s="20"/>
      <c r="E978" s="20"/>
      <c r="F978" s="20"/>
      <c r="G978" s="20"/>
      <c r="H978" s="66"/>
      <c r="I978" s="66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142"/>
      <c r="W978" s="141"/>
      <c r="X978" s="74"/>
      <c r="Y978" s="75"/>
      <c r="Z978" s="75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</row>
    <row r="979" spans="1:45" ht="15.75" customHeight="1">
      <c r="A979" s="20"/>
      <c r="B979" s="71"/>
      <c r="C979" s="20"/>
      <c r="D979" s="20"/>
      <c r="E979" s="20"/>
      <c r="F979" s="20"/>
      <c r="G979" s="20"/>
      <c r="H979" s="66"/>
      <c r="I979" s="66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142"/>
      <c r="W979" s="141"/>
      <c r="X979" s="74"/>
      <c r="Y979" s="75"/>
      <c r="Z979" s="75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</row>
    <row r="980" spans="1:45" ht="15.75" customHeight="1">
      <c r="A980" s="20"/>
      <c r="B980" s="71"/>
      <c r="C980" s="20"/>
      <c r="D980" s="20"/>
      <c r="E980" s="20"/>
      <c r="F980" s="20"/>
      <c r="G980" s="20"/>
      <c r="H980" s="66"/>
      <c r="I980" s="66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142"/>
      <c r="W980" s="141"/>
      <c r="X980" s="74"/>
      <c r="Y980" s="75"/>
      <c r="Z980" s="75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</row>
    <row r="981" spans="1:45" ht="15.75" customHeight="1">
      <c r="A981" s="20"/>
      <c r="B981" s="71"/>
      <c r="C981" s="20"/>
      <c r="D981" s="20"/>
      <c r="E981" s="20"/>
      <c r="F981" s="20"/>
      <c r="G981" s="20"/>
      <c r="H981" s="66"/>
      <c r="I981" s="66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142"/>
      <c r="W981" s="141"/>
      <c r="X981" s="74"/>
      <c r="Y981" s="75"/>
      <c r="Z981" s="75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</row>
    <row r="982" spans="1:45" ht="15.75" customHeight="1">
      <c r="A982" s="20"/>
      <c r="B982" s="71"/>
      <c r="C982" s="20"/>
      <c r="D982" s="20"/>
      <c r="E982" s="20"/>
      <c r="F982" s="20"/>
      <c r="G982" s="20"/>
      <c r="H982" s="66"/>
      <c r="I982" s="66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142"/>
      <c r="W982" s="141"/>
      <c r="X982" s="74"/>
      <c r="Y982" s="75"/>
      <c r="Z982" s="75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</row>
    <row r="983" spans="1:45" ht="15.75" customHeight="1">
      <c r="A983" s="20"/>
      <c r="B983" s="71"/>
      <c r="C983" s="20"/>
      <c r="D983" s="20"/>
      <c r="E983" s="20"/>
      <c r="F983" s="20"/>
      <c r="G983" s="20"/>
      <c r="H983" s="66"/>
      <c r="I983" s="66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142"/>
      <c r="W983" s="141"/>
      <c r="X983" s="74"/>
      <c r="Y983" s="75"/>
      <c r="Z983" s="75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</row>
    <row r="984" spans="1:45" ht="15.75" customHeight="1">
      <c r="A984" s="20"/>
      <c r="B984" s="71"/>
      <c r="C984" s="20"/>
      <c r="D984" s="20"/>
      <c r="E984" s="20"/>
      <c r="F984" s="20"/>
      <c r="G984" s="20"/>
      <c r="H984" s="66"/>
      <c r="I984" s="66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142"/>
      <c r="W984" s="141"/>
      <c r="X984" s="74"/>
      <c r="Y984" s="75"/>
      <c r="Z984" s="75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</row>
    <row r="985" spans="1:45" ht="15.75" customHeight="1">
      <c r="A985" s="20"/>
      <c r="B985" s="71"/>
      <c r="C985" s="20"/>
      <c r="D985" s="20"/>
      <c r="E985" s="20"/>
      <c r="F985" s="20"/>
      <c r="G985" s="20"/>
      <c r="H985" s="66"/>
      <c r="I985" s="66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142"/>
      <c r="W985" s="141"/>
      <c r="X985" s="74"/>
      <c r="Y985" s="75"/>
      <c r="Z985" s="75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</row>
    <row r="986" spans="1:45" ht="15.75" customHeight="1">
      <c r="A986" s="20"/>
      <c r="B986" s="71"/>
      <c r="C986" s="20"/>
      <c r="D986" s="20"/>
      <c r="E986" s="20"/>
      <c r="F986" s="20"/>
      <c r="G986" s="20"/>
      <c r="H986" s="66"/>
      <c r="I986" s="66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142"/>
      <c r="W986" s="141"/>
      <c r="X986" s="74"/>
      <c r="Y986" s="75"/>
      <c r="Z986" s="75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</row>
    <row r="987" spans="1:45" ht="15.75" customHeight="1">
      <c r="A987" s="20"/>
      <c r="B987" s="71"/>
      <c r="C987" s="20"/>
      <c r="D987" s="20"/>
      <c r="E987" s="20"/>
      <c r="F987" s="20"/>
      <c r="G987" s="20"/>
      <c r="H987" s="66"/>
      <c r="I987" s="66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142"/>
      <c r="W987" s="141"/>
      <c r="X987" s="74"/>
      <c r="Y987" s="75"/>
      <c r="Z987" s="75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</row>
    <row r="988" spans="1:45" ht="15.75" customHeight="1">
      <c r="A988" s="20"/>
      <c r="B988" s="71"/>
      <c r="C988" s="20"/>
      <c r="D988" s="20"/>
      <c r="E988" s="20"/>
      <c r="F988" s="20"/>
      <c r="G988" s="20"/>
      <c r="H988" s="66"/>
      <c r="I988" s="66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142"/>
      <c r="W988" s="141"/>
      <c r="X988" s="74"/>
      <c r="Y988" s="75"/>
      <c r="Z988" s="75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</row>
    <row r="989" spans="1:45" ht="15.75" customHeight="1">
      <c r="A989" s="20"/>
      <c r="B989" s="71"/>
      <c r="C989" s="20"/>
      <c r="D989" s="20"/>
      <c r="E989" s="20"/>
      <c r="F989" s="20"/>
      <c r="G989" s="20"/>
      <c r="H989" s="66"/>
      <c r="I989" s="66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142"/>
      <c r="W989" s="141"/>
      <c r="X989" s="74"/>
      <c r="Y989" s="75"/>
      <c r="Z989" s="75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</row>
    <row r="990" spans="1:45" ht="15.75" customHeight="1">
      <c r="A990" s="20"/>
      <c r="B990" s="71"/>
      <c r="C990" s="20"/>
      <c r="D990" s="20"/>
      <c r="E990" s="20"/>
      <c r="F990" s="20"/>
      <c r="G990" s="20"/>
      <c r="H990" s="66"/>
      <c r="I990" s="66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142"/>
      <c r="W990" s="141"/>
      <c r="X990" s="74"/>
      <c r="Y990" s="75"/>
      <c r="Z990" s="75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</row>
    <row r="991" spans="1:45" ht="15.75" customHeight="1">
      <c r="A991" s="20"/>
      <c r="B991" s="71"/>
      <c r="C991" s="20"/>
      <c r="D991" s="20"/>
      <c r="E991" s="20"/>
      <c r="F991" s="20"/>
      <c r="G991" s="20"/>
      <c r="H991" s="66"/>
      <c r="I991" s="66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142"/>
      <c r="W991" s="141"/>
      <c r="X991" s="74"/>
      <c r="Y991" s="75"/>
      <c r="Z991" s="75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</row>
    <row r="992" spans="1:45" ht="15.75" customHeight="1">
      <c r="A992" s="20"/>
      <c r="B992" s="71"/>
      <c r="C992" s="20"/>
      <c r="D992" s="20"/>
      <c r="E992" s="20"/>
      <c r="F992" s="20"/>
      <c r="G992" s="20"/>
      <c r="H992" s="66"/>
      <c r="I992" s="66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142"/>
      <c r="W992" s="141"/>
      <c r="X992" s="74"/>
      <c r="Y992" s="75"/>
      <c r="Z992" s="75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</row>
    <row r="993" spans="1:45" ht="15.75" customHeight="1">
      <c r="A993" s="20"/>
      <c r="B993" s="71"/>
      <c r="C993" s="20"/>
      <c r="D993" s="20"/>
      <c r="E993" s="20"/>
      <c r="F993" s="20"/>
      <c r="G993" s="20"/>
      <c r="H993" s="66"/>
      <c r="I993" s="66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142"/>
      <c r="W993" s="141"/>
      <c r="X993" s="74"/>
      <c r="Y993" s="75"/>
      <c r="Z993" s="75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</row>
    <row r="994" spans="1:45" ht="15.75" customHeight="1">
      <c r="A994" s="20"/>
      <c r="B994" s="71"/>
      <c r="C994" s="20"/>
      <c r="D994" s="20"/>
      <c r="E994" s="20"/>
      <c r="F994" s="20"/>
      <c r="G994" s="20"/>
      <c r="H994" s="66"/>
      <c r="I994" s="66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142"/>
      <c r="W994" s="141"/>
      <c r="X994" s="74"/>
      <c r="Y994" s="75"/>
      <c r="Z994" s="75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</row>
    <row r="995" spans="1:45" ht="15.75" customHeight="1">
      <c r="A995" s="20"/>
      <c r="B995" s="71"/>
      <c r="C995" s="20"/>
      <c r="D995" s="20"/>
      <c r="E995" s="20"/>
      <c r="F995" s="20"/>
      <c r="G995" s="20"/>
      <c r="H995" s="66"/>
      <c r="I995" s="66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142"/>
      <c r="W995" s="141"/>
      <c r="X995" s="74"/>
      <c r="Y995" s="75"/>
      <c r="Z995" s="75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</row>
    <row r="996" spans="1:45" ht="15.75" customHeight="1">
      <c r="A996" s="20"/>
      <c r="B996" s="71"/>
      <c r="C996" s="20"/>
      <c r="D996" s="20"/>
      <c r="E996" s="20"/>
      <c r="F996" s="20"/>
      <c r="G996" s="20"/>
      <c r="H996" s="66"/>
      <c r="I996" s="66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142"/>
      <c r="W996" s="141"/>
      <c r="X996" s="74"/>
      <c r="Y996" s="75"/>
      <c r="Z996" s="75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</row>
    <row r="997" spans="1:45" ht="15.75" customHeight="1">
      <c r="A997" s="20"/>
      <c r="B997" s="71"/>
      <c r="C997" s="20"/>
      <c r="D997" s="20"/>
      <c r="E997" s="20"/>
      <c r="F997" s="20"/>
      <c r="G997" s="20"/>
      <c r="H997" s="66"/>
      <c r="I997" s="66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142"/>
      <c r="W997" s="141"/>
      <c r="X997" s="74"/>
      <c r="Y997" s="75"/>
      <c r="Z997" s="75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</row>
    <row r="998" spans="1:45" ht="15.75" customHeight="1">
      <c r="A998" s="20"/>
      <c r="B998" s="71"/>
      <c r="C998" s="20"/>
      <c r="D998" s="20"/>
      <c r="E998" s="20"/>
      <c r="F998" s="20"/>
      <c r="G998" s="20"/>
      <c r="H998" s="66"/>
      <c r="I998" s="66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142"/>
      <c r="W998" s="141"/>
      <c r="X998" s="74"/>
      <c r="Y998" s="75"/>
      <c r="Z998" s="75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</row>
    <row r="999" spans="1:45" ht="15.75" customHeight="1">
      <c r="A999" s="20"/>
      <c r="B999" s="71"/>
      <c r="C999" s="20"/>
      <c r="D999" s="20"/>
      <c r="E999" s="20"/>
      <c r="F999" s="20"/>
      <c r="G999" s="20"/>
      <c r="H999" s="66"/>
      <c r="I999" s="66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142"/>
      <c r="W999" s="141"/>
      <c r="X999" s="74"/>
      <c r="Y999" s="75"/>
      <c r="Z999" s="75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</row>
    <row r="1000" spans="1:45" ht="15.75" customHeight="1">
      <c r="A1000" s="20"/>
      <c r="B1000" s="71"/>
      <c r="C1000" s="20"/>
      <c r="D1000" s="20"/>
      <c r="E1000" s="20"/>
      <c r="F1000" s="20"/>
      <c r="G1000" s="20"/>
      <c r="H1000" s="66"/>
      <c r="I1000" s="66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142"/>
      <c r="W1000" s="141"/>
      <c r="X1000" s="74"/>
      <c r="Y1000" s="75"/>
      <c r="Z1000" s="75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</row>
    <row r="1001" spans="1:45" ht="15.75" customHeight="1">
      <c r="A1001" s="20"/>
      <c r="B1001" s="71"/>
      <c r="C1001" s="20"/>
      <c r="D1001" s="20"/>
      <c r="E1001" s="20"/>
      <c r="F1001" s="20"/>
      <c r="G1001" s="20"/>
      <c r="H1001" s="66"/>
      <c r="I1001" s="66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142"/>
      <c r="W1001" s="141"/>
      <c r="X1001" s="74"/>
      <c r="Y1001" s="75"/>
      <c r="Z1001" s="75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</row>
    <row r="1002" spans="1:45" ht="15.75" customHeight="1">
      <c r="A1002" s="20"/>
      <c r="B1002" s="71"/>
      <c r="C1002" s="20"/>
      <c r="D1002" s="20"/>
      <c r="E1002" s="20"/>
      <c r="F1002" s="20"/>
      <c r="G1002" s="20"/>
      <c r="H1002" s="66"/>
      <c r="I1002" s="66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142"/>
      <c r="W1002" s="141"/>
      <c r="X1002" s="74"/>
      <c r="Y1002" s="75"/>
      <c r="Z1002" s="75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</row>
    <row r="1003" spans="1:45" ht="15.75" customHeight="1">
      <c r="A1003" s="20"/>
      <c r="B1003" s="71"/>
      <c r="C1003" s="20"/>
      <c r="D1003" s="20"/>
      <c r="E1003" s="20"/>
      <c r="F1003" s="20"/>
      <c r="G1003" s="20"/>
      <c r="H1003" s="66"/>
      <c r="I1003" s="66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142"/>
      <c r="W1003" s="141"/>
      <c r="X1003" s="74"/>
      <c r="Y1003" s="75"/>
      <c r="Z1003" s="75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</row>
    <row r="1004" spans="1:45" ht="15.75" customHeight="1">
      <c r="A1004" s="20"/>
      <c r="B1004" s="71"/>
      <c r="C1004" s="20"/>
      <c r="D1004" s="20"/>
      <c r="E1004" s="20"/>
      <c r="F1004" s="20"/>
      <c r="G1004" s="20"/>
      <c r="H1004" s="66"/>
      <c r="I1004" s="66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142"/>
      <c r="W1004" s="141"/>
      <c r="X1004" s="74"/>
      <c r="Y1004" s="75"/>
      <c r="Z1004" s="75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</row>
    <row r="1005" spans="1:45" ht="15.75" customHeight="1">
      <c r="A1005" s="20"/>
      <c r="B1005" s="71"/>
      <c r="C1005" s="20"/>
      <c r="D1005" s="20"/>
      <c r="E1005" s="20"/>
      <c r="F1005" s="20"/>
      <c r="G1005" s="20"/>
      <c r="H1005" s="66"/>
      <c r="I1005" s="66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142"/>
      <c r="W1005" s="141"/>
      <c r="X1005" s="74"/>
      <c r="Y1005" s="75"/>
      <c r="Z1005" s="75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</row>
    <row r="1006" spans="1:45" ht="15.75" customHeight="1">
      <c r="A1006" s="20"/>
      <c r="B1006" s="71"/>
      <c r="C1006" s="20"/>
      <c r="D1006" s="20"/>
      <c r="E1006" s="20"/>
      <c r="F1006" s="20"/>
      <c r="G1006" s="20"/>
      <c r="H1006" s="66"/>
      <c r="I1006" s="66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142"/>
      <c r="W1006" s="141"/>
      <c r="X1006" s="74"/>
      <c r="Y1006" s="75"/>
      <c r="Z1006" s="75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</row>
    <row r="1007" spans="1:45" ht="15.75" customHeight="1">
      <c r="A1007" s="20"/>
      <c r="B1007" s="71"/>
      <c r="C1007" s="20"/>
      <c r="D1007" s="20"/>
      <c r="E1007" s="20"/>
      <c r="F1007" s="20"/>
      <c r="G1007" s="20"/>
      <c r="H1007" s="66"/>
      <c r="I1007" s="66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142"/>
      <c r="W1007" s="141"/>
      <c r="X1007" s="74"/>
      <c r="Y1007" s="75"/>
      <c r="Z1007" s="75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</row>
    <row r="1008" spans="1:45" ht="15.75" customHeight="1">
      <c r="A1008" s="20"/>
      <c r="B1008" s="71"/>
      <c r="C1008" s="20"/>
      <c r="D1008" s="20"/>
      <c r="E1008" s="20"/>
      <c r="F1008" s="20"/>
      <c r="G1008" s="20"/>
      <c r="H1008" s="66"/>
      <c r="I1008" s="66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142"/>
      <c r="W1008" s="141"/>
      <c r="X1008" s="74"/>
      <c r="Y1008" s="75"/>
      <c r="Z1008" s="75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</row>
    <row r="1009" spans="1:45" ht="15.75" customHeight="1">
      <c r="A1009" s="20"/>
      <c r="B1009" s="71"/>
      <c r="C1009" s="20"/>
      <c r="D1009" s="20"/>
      <c r="E1009" s="20"/>
      <c r="F1009" s="20"/>
      <c r="G1009" s="20"/>
      <c r="H1009" s="66"/>
      <c r="I1009" s="66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142"/>
      <c r="W1009" s="141"/>
      <c r="X1009" s="74"/>
      <c r="Y1009" s="75"/>
      <c r="Z1009" s="75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</row>
    <row r="1010" spans="1:45" ht="15.75" customHeight="1">
      <c r="A1010" s="20"/>
      <c r="B1010" s="71"/>
      <c r="C1010" s="20"/>
      <c r="D1010" s="20"/>
      <c r="E1010" s="20"/>
      <c r="F1010" s="20"/>
      <c r="G1010" s="20"/>
      <c r="H1010" s="66"/>
      <c r="I1010" s="66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142"/>
      <c r="W1010" s="141"/>
      <c r="X1010" s="74"/>
      <c r="Y1010" s="75"/>
      <c r="Z1010" s="75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</row>
    <row r="1011" spans="1:45" ht="15.75" customHeight="1">
      <c r="A1011" s="20"/>
      <c r="B1011" s="71"/>
      <c r="C1011" s="20"/>
      <c r="D1011" s="20"/>
      <c r="E1011" s="20"/>
      <c r="F1011" s="20"/>
      <c r="G1011" s="20"/>
      <c r="H1011" s="66"/>
      <c r="I1011" s="66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142"/>
      <c r="W1011" s="141"/>
      <c r="X1011" s="74"/>
      <c r="Y1011" s="75"/>
      <c r="Z1011" s="75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</row>
    <row r="1012" spans="1:45" ht="15.75" customHeight="1">
      <c r="A1012" s="20"/>
      <c r="B1012" s="71"/>
      <c r="C1012" s="20"/>
      <c r="D1012" s="20"/>
      <c r="E1012" s="20"/>
      <c r="F1012" s="20"/>
      <c r="G1012" s="20"/>
      <c r="H1012" s="66"/>
      <c r="I1012" s="66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142"/>
      <c r="W1012" s="141"/>
      <c r="X1012" s="74"/>
      <c r="Y1012" s="75"/>
      <c r="Z1012" s="75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</row>
    <row r="1013" spans="1:45" ht="15.75" customHeight="1">
      <c r="A1013" s="20"/>
      <c r="B1013" s="71"/>
      <c r="C1013" s="20"/>
      <c r="D1013" s="20"/>
      <c r="E1013" s="20"/>
      <c r="F1013" s="20"/>
      <c r="G1013" s="20"/>
      <c r="H1013" s="66"/>
      <c r="I1013" s="66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142"/>
      <c r="W1013" s="141"/>
      <c r="X1013" s="74"/>
      <c r="Y1013" s="75"/>
      <c r="Z1013" s="75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</row>
    <row r="1014" spans="1:45" ht="15.75" customHeight="1">
      <c r="A1014" s="20"/>
      <c r="B1014" s="71"/>
      <c r="C1014" s="20"/>
      <c r="D1014" s="20"/>
      <c r="E1014" s="20"/>
      <c r="F1014" s="20"/>
      <c r="G1014" s="20"/>
      <c r="H1014" s="66"/>
      <c r="I1014" s="66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142"/>
      <c r="W1014" s="141"/>
      <c r="X1014" s="74"/>
      <c r="Y1014" s="75"/>
      <c r="Z1014" s="75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</row>
    <row r="1015" spans="1:45" ht="15.75" customHeight="1">
      <c r="A1015" s="20"/>
      <c r="B1015" s="71"/>
      <c r="C1015" s="20"/>
      <c r="D1015" s="20"/>
      <c r="E1015" s="20"/>
      <c r="F1015" s="20"/>
      <c r="G1015" s="20"/>
      <c r="H1015" s="66"/>
      <c r="I1015" s="66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142"/>
      <c r="W1015" s="141"/>
      <c r="X1015" s="74"/>
      <c r="Y1015" s="75"/>
      <c r="Z1015" s="75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</row>
    <row r="1016" spans="1:45" ht="15.75" customHeight="1">
      <c r="A1016" s="20"/>
      <c r="B1016" s="71"/>
      <c r="C1016" s="20"/>
      <c r="D1016" s="20"/>
      <c r="E1016" s="20"/>
      <c r="F1016" s="20"/>
      <c r="G1016" s="20"/>
      <c r="H1016" s="66"/>
      <c r="I1016" s="66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142"/>
      <c r="W1016" s="141"/>
      <c r="X1016" s="74"/>
      <c r="Y1016" s="75"/>
      <c r="Z1016" s="75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</row>
    <row r="1017" spans="1:45" ht="15.75" customHeight="1">
      <c r="A1017" s="20"/>
      <c r="B1017" s="71"/>
      <c r="C1017" s="20"/>
      <c r="D1017" s="20"/>
      <c r="E1017" s="20"/>
      <c r="F1017" s="20"/>
      <c r="G1017" s="20"/>
      <c r="H1017" s="66"/>
      <c r="I1017" s="66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142"/>
      <c r="W1017" s="141"/>
      <c r="X1017" s="74"/>
      <c r="Y1017" s="75"/>
      <c r="Z1017" s="75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</row>
    <row r="1018" spans="1:45" ht="15.75" customHeight="1">
      <c r="A1018" s="20"/>
      <c r="B1018" s="71"/>
      <c r="C1018" s="20"/>
      <c r="D1018" s="20"/>
      <c r="E1018" s="20"/>
      <c r="F1018" s="20"/>
      <c r="G1018" s="20"/>
      <c r="H1018" s="66"/>
      <c r="I1018" s="66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142"/>
      <c r="W1018" s="141"/>
      <c r="X1018" s="74"/>
      <c r="Y1018" s="75"/>
      <c r="Z1018" s="75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</row>
    <row r="1019" spans="1:45" ht="15.75" customHeight="1">
      <c r="A1019" s="20"/>
      <c r="B1019" s="71"/>
      <c r="C1019" s="20"/>
      <c r="D1019" s="20"/>
      <c r="E1019" s="20"/>
      <c r="F1019" s="20"/>
      <c r="G1019" s="20"/>
      <c r="H1019" s="66"/>
      <c r="I1019" s="66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142"/>
      <c r="W1019" s="141"/>
      <c r="X1019" s="74"/>
      <c r="Y1019" s="75"/>
      <c r="Z1019" s="75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</row>
    <row r="1020" spans="1:45" ht="15.75" customHeight="1">
      <c r="A1020" s="20"/>
      <c r="B1020" s="71"/>
      <c r="C1020" s="20"/>
      <c r="D1020" s="20"/>
      <c r="E1020" s="20"/>
      <c r="F1020" s="20"/>
      <c r="G1020" s="20"/>
      <c r="H1020" s="66"/>
      <c r="I1020" s="66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142"/>
      <c r="W1020" s="141"/>
      <c r="X1020" s="74"/>
      <c r="Y1020" s="75"/>
      <c r="Z1020" s="75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</row>
    <row r="1021" spans="1:45" ht="15.75" customHeight="1">
      <c r="A1021" s="20"/>
      <c r="B1021" s="71"/>
      <c r="C1021" s="20"/>
      <c r="D1021" s="20"/>
      <c r="E1021" s="20"/>
      <c r="F1021" s="20"/>
      <c r="G1021" s="20"/>
      <c r="H1021" s="66"/>
      <c r="I1021" s="66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142"/>
      <c r="W1021" s="141"/>
      <c r="X1021" s="74"/>
      <c r="Y1021" s="75"/>
      <c r="Z1021" s="75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</row>
    <row r="1022" spans="1:45" ht="15.75" customHeight="1">
      <c r="A1022" s="20"/>
      <c r="B1022" s="71"/>
      <c r="C1022" s="20"/>
      <c r="D1022" s="20"/>
      <c r="E1022" s="20"/>
      <c r="F1022" s="20"/>
      <c r="G1022" s="20"/>
      <c r="H1022" s="66"/>
      <c r="I1022" s="66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142"/>
      <c r="W1022" s="141"/>
      <c r="X1022" s="74"/>
      <c r="Y1022" s="75"/>
      <c r="Z1022" s="75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</row>
    <row r="1023" spans="1:45" ht="15.75" customHeight="1">
      <c r="A1023" s="20"/>
      <c r="B1023" s="71"/>
      <c r="C1023" s="20"/>
      <c r="D1023" s="20"/>
      <c r="E1023" s="20"/>
      <c r="F1023" s="20"/>
      <c r="G1023" s="20"/>
      <c r="H1023" s="66"/>
      <c r="I1023" s="66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142"/>
      <c r="W1023" s="141"/>
      <c r="X1023" s="74"/>
      <c r="Y1023" s="75"/>
      <c r="Z1023" s="75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</row>
    <row r="1024" spans="1:45" ht="15.75" customHeight="1">
      <c r="A1024" s="20"/>
      <c r="B1024" s="71"/>
      <c r="C1024" s="20"/>
      <c r="D1024" s="20"/>
      <c r="E1024" s="20"/>
      <c r="F1024" s="20"/>
      <c r="G1024" s="20"/>
      <c r="H1024" s="66"/>
      <c r="I1024" s="66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142"/>
      <c r="W1024" s="141"/>
      <c r="X1024" s="74"/>
      <c r="Y1024" s="75"/>
      <c r="Z1024" s="75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</row>
    <row r="1025" spans="1:45" ht="15.75" customHeight="1">
      <c r="A1025" s="20"/>
      <c r="B1025" s="71"/>
      <c r="C1025" s="20"/>
      <c r="D1025" s="20"/>
      <c r="E1025" s="20"/>
      <c r="F1025" s="20"/>
      <c r="G1025" s="20"/>
      <c r="H1025" s="66"/>
      <c r="I1025" s="66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142"/>
      <c r="W1025" s="141"/>
      <c r="X1025" s="74"/>
      <c r="Y1025" s="75"/>
      <c r="Z1025" s="75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</row>
    <row r="1026" spans="1:45" ht="15.75" customHeight="1">
      <c r="A1026" s="20"/>
      <c r="B1026" s="71"/>
      <c r="C1026" s="20"/>
      <c r="D1026" s="20"/>
      <c r="E1026" s="20"/>
      <c r="F1026" s="20"/>
      <c r="G1026" s="20"/>
      <c r="H1026" s="66"/>
      <c r="I1026" s="66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142"/>
      <c r="W1026" s="141"/>
      <c r="X1026" s="74"/>
      <c r="Y1026" s="75"/>
      <c r="Z1026" s="75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</row>
    <row r="1027" spans="1:45" ht="15.75" customHeight="1">
      <c r="A1027" s="20"/>
      <c r="B1027" s="71"/>
      <c r="C1027" s="20"/>
      <c r="D1027" s="20"/>
      <c r="E1027" s="20"/>
      <c r="F1027" s="20"/>
      <c r="G1027" s="20"/>
      <c r="H1027" s="66"/>
      <c r="I1027" s="66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142"/>
      <c r="W1027" s="141"/>
      <c r="X1027" s="74"/>
      <c r="Y1027" s="75"/>
      <c r="Z1027" s="75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</row>
    <row r="1028" spans="1:45" ht="15.75" customHeight="1">
      <c r="A1028" s="20"/>
      <c r="B1028" s="71"/>
      <c r="C1028" s="20"/>
      <c r="D1028" s="20"/>
      <c r="E1028" s="20"/>
      <c r="F1028" s="20"/>
      <c r="G1028" s="20"/>
      <c r="H1028" s="66"/>
      <c r="I1028" s="66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142"/>
      <c r="W1028" s="141"/>
      <c r="X1028" s="74"/>
      <c r="Y1028" s="75"/>
      <c r="Z1028" s="75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</row>
    <row r="1029" spans="1:45" ht="15.75" customHeight="1">
      <c r="A1029" s="20"/>
      <c r="B1029" s="71"/>
      <c r="C1029" s="20"/>
      <c r="D1029" s="20"/>
      <c r="E1029" s="20"/>
      <c r="F1029" s="20"/>
      <c r="G1029" s="20"/>
      <c r="H1029" s="66"/>
      <c r="I1029" s="66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142"/>
      <c r="W1029" s="141"/>
      <c r="X1029" s="74"/>
      <c r="Y1029" s="75"/>
      <c r="Z1029" s="75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</row>
    <row r="1030" spans="1:45" ht="15.75" customHeight="1">
      <c r="A1030" s="20"/>
      <c r="B1030" s="71"/>
      <c r="C1030" s="20"/>
      <c r="D1030" s="20"/>
      <c r="E1030" s="20"/>
      <c r="F1030" s="20"/>
      <c r="G1030" s="20"/>
      <c r="H1030" s="66"/>
      <c r="I1030" s="66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142"/>
      <c r="W1030" s="141"/>
      <c r="X1030" s="74"/>
      <c r="Y1030" s="75"/>
      <c r="Z1030" s="75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</row>
    <row r="1031" spans="1:45" ht="15.75" customHeight="1">
      <c r="A1031" s="20"/>
      <c r="B1031" s="71"/>
      <c r="C1031" s="20"/>
      <c r="D1031" s="20"/>
      <c r="E1031" s="20"/>
      <c r="F1031" s="20"/>
      <c r="G1031" s="20"/>
      <c r="H1031" s="66"/>
      <c r="I1031" s="66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142"/>
      <c r="W1031" s="141"/>
      <c r="X1031" s="74"/>
      <c r="Y1031" s="75"/>
      <c r="Z1031" s="75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</row>
    <row r="1032" spans="1:45" ht="15.75" customHeight="1">
      <c r="A1032" s="20"/>
      <c r="B1032" s="71"/>
      <c r="C1032" s="20"/>
      <c r="D1032" s="20"/>
      <c r="E1032" s="20"/>
      <c r="F1032" s="20"/>
      <c r="G1032" s="20"/>
      <c r="H1032" s="66"/>
      <c r="I1032" s="66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142"/>
      <c r="W1032" s="141"/>
      <c r="X1032" s="74"/>
      <c r="Y1032" s="75"/>
      <c r="Z1032" s="75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</row>
    <row r="1033" spans="1:45" ht="15.75" customHeight="1">
      <c r="A1033" s="20"/>
      <c r="B1033" s="71"/>
      <c r="C1033" s="20"/>
      <c r="D1033" s="20"/>
      <c r="E1033" s="20"/>
      <c r="F1033" s="20"/>
      <c r="G1033" s="20"/>
      <c r="H1033" s="66"/>
      <c r="I1033" s="66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142"/>
      <c r="W1033" s="141"/>
      <c r="X1033" s="74"/>
      <c r="Y1033" s="75"/>
      <c r="Z1033" s="75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</row>
    <row r="1034" spans="1:45" ht="15.75" customHeight="1">
      <c r="A1034" s="20"/>
      <c r="B1034" s="71"/>
      <c r="C1034" s="20"/>
      <c r="D1034" s="20"/>
      <c r="E1034" s="20"/>
      <c r="F1034" s="20"/>
      <c r="G1034" s="20"/>
      <c r="H1034" s="66"/>
      <c r="I1034" s="66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142"/>
      <c r="W1034" s="141"/>
      <c r="X1034" s="74"/>
      <c r="Y1034" s="75"/>
      <c r="Z1034" s="75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</row>
    <row r="1035" spans="1:45" ht="15.75" customHeight="1">
      <c r="A1035" s="20"/>
      <c r="B1035" s="71"/>
      <c r="C1035" s="20"/>
      <c r="D1035" s="20"/>
      <c r="E1035" s="20"/>
      <c r="F1035" s="20"/>
      <c r="G1035" s="20"/>
      <c r="H1035" s="66"/>
      <c r="I1035" s="66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142"/>
      <c r="W1035" s="141"/>
      <c r="X1035" s="74"/>
      <c r="Y1035" s="75"/>
      <c r="Z1035" s="75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</row>
    <row r="1036" spans="1:45" ht="15.75" customHeight="1">
      <c r="A1036" s="20"/>
      <c r="B1036" s="71"/>
      <c r="C1036" s="20"/>
      <c r="D1036" s="20"/>
      <c r="E1036" s="20"/>
      <c r="F1036" s="20"/>
      <c r="G1036" s="20"/>
      <c r="H1036" s="66"/>
      <c r="I1036" s="66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142"/>
      <c r="W1036" s="141"/>
      <c r="X1036" s="74"/>
      <c r="Y1036" s="75"/>
      <c r="Z1036" s="75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</row>
    <row r="1037" spans="1:45" ht="15.75" customHeight="1">
      <c r="A1037" s="20"/>
      <c r="B1037" s="71"/>
      <c r="C1037" s="20"/>
      <c r="D1037" s="20"/>
      <c r="E1037" s="20"/>
      <c r="F1037" s="20"/>
      <c r="G1037" s="20"/>
      <c r="H1037" s="66"/>
      <c r="I1037" s="66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142"/>
      <c r="W1037" s="141"/>
      <c r="X1037" s="74"/>
      <c r="Y1037" s="75"/>
      <c r="Z1037" s="75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</row>
    <row r="1038" spans="1:45" ht="15.75" customHeight="1">
      <c r="A1038" s="20"/>
      <c r="B1038" s="71"/>
      <c r="C1038" s="20"/>
      <c r="D1038" s="20"/>
      <c r="E1038" s="20"/>
      <c r="F1038" s="20"/>
      <c r="G1038" s="20"/>
      <c r="H1038" s="66"/>
      <c r="I1038" s="66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142"/>
      <c r="W1038" s="141"/>
      <c r="X1038" s="74"/>
      <c r="Y1038" s="75"/>
      <c r="Z1038" s="75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</row>
    <row r="1039" spans="1:45" ht="15.75" customHeight="1">
      <c r="A1039" s="20"/>
      <c r="B1039" s="71"/>
      <c r="C1039" s="20"/>
      <c r="D1039" s="20"/>
      <c r="E1039" s="20"/>
      <c r="F1039" s="20"/>
      <c r="G1039" s="20"/>
      <c r="H1039" s="66"/>
      <c r="I1039" s="66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142"/>
      <c r="W1039" s="141"/>
      <c r="X1039" s="74"/>
      <c r="Y1039" s="75"/>
      <c r="Z1039" s="75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</row>
    <row r="1040" spans="1:45" ht="15.75" customHeight="1">
      <c r="A1040" s="20"/>
      <c r="B1040" s="71"/>
      <c r="C1040" s="20"/>
      <c r="D1040" s="20"/>
      <c r="E1040" s="20"/>
      <c r="F1040" s="20"/>
      <c r="G1040" s="20"/>
      <c r="H1040" s="66"/>
      <c r="I1040" s="66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142"/>
      <c r="W1040" s="141"/>
      <c r="X1040" s="74"/>
      <c r="Y1040" s="75"/>
      <c r="Z1040" s="75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</row>
    <row r="1041" spans="1:45" ht="15.75" customHeight="1">
      <c r="A1041" s="20"/>
      <c r="B1041" s="71"/>
      <c r="C1041" s="20"/>
      <c r="D1041" s="20"/>
      <c r="E1041" s="20"/>
      <c r="F1041" s="20"/>
      <c r="G1041" s="20"/>
      <c r="H1041" s="66"/>
      <c r="I1041" s="66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142"/>
      <c r="W1041" s="141"/>
      <c r="X1041" s="74"/>
      <c r="Y1041" s="75"/>
      <c r="Z1041" s="75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</row>
    <row r="1042" spans="1:45" ht="15.75" customHeight="1">
      <c r="A1042" s="20"/>
      <c r="B1042" s="71"/>
      <c r="C1042" s="20"/>
      <c r="D1042" s="20"/>
      <c r="E1042" s="20"/>
      <c r="F1042" s="20"/>
      <c r="G1042" s="20"/>
      <c r="H1042" s="66"/>
      <c r="I1042" s="66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142"/>
      <c r="W1042" s="141"/>
      <c r="X1042" s="74"/>
      <c r="Y1042" s="75"/>
      <c r="Z1042" s="75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</row>
    <row r="1043" spans="1:45" ht="15.75" customHeight="1">
      <c r="A1043" s="20"/>
      <c r="B1043" s="71"/>
      <c r="C1043" s="20"/>
      <c r="D1043" s="20"/>
      <c r="E1043" s="20"/>
      <c r="F1043" s="20"/>
      <c r="G1043" s="20"/>
      <c r="H1043" s="66"/>
      <c r="I1043" s="66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142"/>
      <c r="W1043" s="141"/>
      <c r="X1043" s="74"/>
      <c r="Y1043" s="75"/>
      <c r="Z1043" s="75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</row>
    <row r="1044" spans="1:45" ht="15.75" customHeight="1">
      <c r="A1044" s="20"/>
      <c r="B1044" s="71"/>
      <c r="C1044" s="20"/>
      <c r="D1044" s="20"/>
      <c r="E1044" s="20"/>
      <c r="F1044" s="20"/>
      <c r="G1044" s="20"/>
      <c r="H1044" s="66"/>
      <c r="I1044" s="66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142"/>
      <c r="W1044" s="141"/>
      <c r="X1044" s="74"/>
      <c r="Y1044" s="75"/>
      <c r="Z1044" s="75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</row>
    <row r="1045" spans="1:45" ht="15.75" customHeight="1">
      <c r="A1045" s="20"/>
      <c r="B1045" s="71"/>
      <c r="C1045" s="20"/>
      <c r="D1045" s="20"/>
      <c r="E1045" s="20"/>
      <c r="F1045" s="20"/>
      <c r="G1045" s="20"/>
      <c r="H1045" s="66"/>
      <c r="I1045" s="66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142"/>
      <c r="W1045" s="141"/>
      <c r="X1045" s="74"/>
      <c r="Y1045" s="75"/>
      <c r="Z1045" s="75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</row>
    <row r="1046" spans="1:45" ht="15.75" customHeight="1">
      <c r="A1046" s="20"/>
      <c r="B1046" s="71"/>
      <c r="C1046" s="20"/>
      <c r="D1046" s="20"/>
      <c r="E1046" s="20"/>
      <c r="F1046" s="20"/>
      <c r="G1046" s="20"/>
      <c r="H1046" s="66"/>
      <c r="I1046" s="66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142"/>
      <c r="W1046" s="141"/>
      <c r="X1046" s="74"/>
      <c r="Y1046" s="75"/>
      <c r="Z1046" s="75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</row>
    <row r="1047" spans="1:45" ht="15.75" customHeight="1">
      <c r="A1047" s="20"/>
      <c r="B1047" s="71"/>
      <c r="C1047" s="20"/>
      <c r="D1047" s="20"/>
      <c r="E1047" s="20"/>
      <c r="F1047" s="20"/>
      <c r="G1047" s="20"/>
      <c r="H1047" s="66"/>
      <c r="I1047" s="66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142"/>
      <c r="W1047" s="141"/>
      <c r="X1047" s="74"/>
      <c r="Y1047" s="75"/>
      <c r="Z1047" s="75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</row>
    <row r="1048" spans="1:45" ht="15.75" customHeight="1">
      <c r="A1048" s="20"/>
      <c r="B1048" s="71"/>
      <c r="C1048" s="20"/>
      <c r="D1048" s="20"/>
      <c r="E1048" s="20"/>
      <c r="F1048" s="20"/>
      <c r="G1048" s="20"/>
      <c r="H1048" s="66"/>
      <c r="I1048" s="66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142"/>
      <c r="W1048" s="141"/>
      <c r="X1048" s="74"/>
      <c r="Y1048" s="75"/>
      <c r="Z1048" s="75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</row>
    <row r="1049" spans="1:45" ht="15.75" customHeight="1">
      <c r="A1049" s="20"/>
      <c r="B1049" s="71"/>
      <c r="C1049" s="20"/>
      <c r="D1049" s="20"/>
      <c r="E1049" s="20"/>
      <c r="F1049" s="20"/>
      <c r="G1049" s="20"/>
      <c r="H1049" s="66"/>
      <c r="I1049" s="66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142"/>
      <c r="W1049" s="141"/>
      <c r="X1049" s="74"/>
      <c r="Y1049" s="75"/>
      <c r="Z1049" s="75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</row>
    <row r="1050" spans="1:45" ht="15.75" customHeight="1">
      <c r="A1050" s="20"/>
      <c r="B1050" s="71"/>
      <c r="C1050" s="20"/>
      <c r="D1050" s="20"/>
      <c r="E1050" s="20"/>
      <c r="F1050" s="20"/>
      <c r="G1050" s="20"/>
      <c r="H1050" s="66"/>
      <c r="I1050" s="66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142"/>
      <c r="W1050" s="141"/>
      <c r="X1050" s="74"/>
      <c r="Y1050" s="75"/>
      <c r="Z1050" s="75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</row>
    <row r="1051" spans="1:45" ht="15.75" customHeight="1">
      <c r="A1051" s="20"/>
      <c r="B1051" s="71"/>
      <c r="C1051" s="20"/>
      <c r="D1051" s="20"/>
      <c r="E1051" s="20"/>
      <c r="F1051" s="20"/>
      <c r="G1051" s="20"/>
      <c r="H1051" s="66"/>
      <c r="I1051" s="66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142"/>
      <c r="W1051" s="141"/>
      <c r="X1051" s="74"/>
      <c r="Y1051" s="75"/>
      <c r="Z1051" s="75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</row>
    <row r="1052" spans="1:45" ht="15.75" customHeight="1">
      <c r="A1052" s="20"/>
      <c r="B1052" s="71"/>
      <c r="C1052" s="20"/>
      <c r="D1052" s="20"/>
      <c r="E1052" s="20"/>
      <c r="F1052" s="20"/>
      <c r="G1052" s="20"/>
      <c r="H1052" s="66"/>
      <c r="I1052" s="66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142"/>
      <c r="W1052" s="141"/>
      <c r="X1052" s="74"/>
      <c r="Y1052" s="75"/>
      <c r="Z1052" s="75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</row>
    <row r="1053" spans="1:45" ht="15.75" customHeight="1">
      <c r="A1053" s="20"/>
      <c r="B1053" s="71"/>
      <c r="C1053" s="20"/>
      <c r="D1053" s="20"/>
      <c r="E1053" s="20"/>
      <c r="F1053" s="20"/>
      <c r="G1053" s="20"/>
      <c r="H1053" s="66"/>
      <c r="I1053" s="66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142"/>
      <c r="W1053" s="141"/>
      <c r="X1053" s="74"/>
      <c r="Y1053" s="75"/>
      <c r="Z1053" s="75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</row>
    <row r="1054" spans="1:45" ht="15.75" customHeight="1">
      <c r="A1054" s="20"/>
      <c r="B1054" s="71"/>
      <c r="C1054" s="20"/>
      <c r="D1054" s="20"/>
      <c r="E1054" s="20"/>
      <c r="F1054" s="20"/>
      <c r="G1054" s="20"/>
      <c r="H1054" s="66"/>
      <c r="I1054" s="66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142"/>
      <c r="W1054" s="141"/>
      <c r="X1054" s="74"/>
      <c r="Y1054" s="75"/>
      <c r="Z1054" s="75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</row>
    <row r="1055" spans="1:45" ht="15.75" customHeight="1">
      <c r="A1055" s="20"/>
      <c r="B1055" s="71"/>
      <c r="C1055" s="20"/>
      <c r="D1055" s="20"/>
      <c r="E1055" s="20"/>
      <c r="F1055" s="20"/>
      <c r="G1055" s="20"/>
      <c r="H1055" s="66"/>
      <c r="I1055" s="66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142"/>
      <c r="W1055" s="141"/>
      <c r="X1055" s="74"/>
      <c r="Y1055" s="75"/>
      <c r="Z1055" s="75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</row>
    <row r="1056" spans="1:45" ht="15.75" customHeight="1">
      <c r="A1056" s="20"/>
      <c r="B1056" s="71"/>
      <c r="C1056" s="20"/>
      <c r="D1056" s="20"/>
      <c r="E1056" s="20"/>
      <c r="F1056" s="20"/>
      <c r="G1056" s="20"/>
      <c r="H1056" s="66"/>
      <c r="I1056" s="66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142"/>
      <c r="W1056" s="141"/>
      <c r="X1056" s="74"/>
      <c r="Y1056" s="75"/>
      <c r="Z1056" s="75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</row>
    <row r="1057" spans="1:45" ht="15.75" customHeight="1">
      <c r="A1057" s="20"/>
      <c r="B1057" s="71"/>
      <c r="C1057" s="20"/>
      <c r="D1057" s="20"/>
      <c r="E1057" s="20"/>
      <c r="F1057" s="20"/>
      <c r="G1057" s="20"/>
      <c r="H1057" s="66"/>
      <c r="I1057" s="66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142"/>
      <c r="W1057" s="141"/>
      <c r="X1057" s="74"/>
      <c r="Y1057" s="75"/>
      <c r="Z1057" s="75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</row>
    <row r="1058" spans="1:45" ht="15.75" customHeight="1">
      <c r="A1058" s="20"/>
      <c r="B1058" s="71"/>
      <c r="C1058" s="20"/>
      <c r="D1058" s="20"/>
      <c r="E1058" s="20"/>
      <c r="F1058" s="20"/>
      <c r="G1058" s="20"/>
      <c r="H1058" s="66"/>
      <c r="I1058" s="66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142"/>
      <c r="W1058" s="141"/>
      <c r="X1058" s="74"/>
      <c r="Y1058" s="75"/>
      <c r="Z1058" s="75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</row>
    <row r="1059" spans="1:45" ht="15.75" customHeight="1">
      <c r="A1059" s="20"/>
      <c r="B1059" s="71"/>
      <c r="C1059" s="20"/>
      <c r="D1059" s="20"/>
      <c r="E1059" s="20"/>
      <c r="F1059" s="20"/>
      <c r="G1059" s="20"/>
      <c r="H1059" s="66"/>
      <c r="I1059" s="66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142"/>
      <c r="W1059" s="141"/>
      <c r="X1059" s="74"/>
      <c r="Y1059" s="75"/>
      <c r="Z1059" s="75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</row>
    <row r="1060" spans="1:45" ht="15.75" customHeight="1">
      <c r="A1060" s="20"/>
      <c r="B1060" s="71"/>
      <c r="C1060" s="20"/>
      <c r="D1060" s="20"/>
      <c r="E1060" s="20"/>
      <c r="F1060" s="20"/>
      <c r="G1060" s="20"/>
      <c r="H1060" s="66"/>
      <c r="I1060" s="66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142"/>
      <c r="W1060" s="141"/>
      <c r="X1060" s="74"/>
      <c r="Y1060" s="75"/>
      <c r="Z1060" s="75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</row>
    <row r="1061" spans="1:45" ht="15.75" customHeight="1">
      <c r="A1061" s="20"/>
      <c r="B1061" s="71"/>
      <c r="C1061" s="20"/>
      <c r="D1061" s="20"/>
      <c r="E1061" s="20"/>
      <c r="F1061" s="20"/>
      <c r="G1061" s="20"/>
      <c r="H1061" s="66"/>
      <c r="I1061" s="66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142"/>
      <c r="W1061" s="141"/>
      <c r="X1061" s="74"/>
      <c r="Y1061" s="75"/>
      <c r="Z1061" s="75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</row>
    <row r="1062" spans="1:45" ht="15.75" customHeight="1">
      <c r="A1062" s="20"/>
      <c r="B1062" s="71"/>
      <c r="C1062" s="20"/>
      <c r="D1062" s="20"/>
      <c r="E1062" s="20"/>
      <c r="F1062" s="20"/>
      <c r="G1062" s="20"/>
      <c r="H1062" s="66"/>
      <c r="I1062" s="66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142"/>
      <c r="W1062" s="141"/>
      <c r="X1062" s="74"/>
      <c r="Y1062" s="75"/>
      <c r="Z1062" s="75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</row>
    <row r="1063" spans="1:45" ht="15.75" customHeight="1">
      <c r="A1063" s="20"/>
      <c r="B1063" s="71"/>
      <c r="C1063" s="20"/>
      <c r="D1063" s="20"/>
      <c r="E1063" s="20"/>
      <c r="F1063" s="20"/>
      <c r="G1063" s="20"/>
      <c r="H1063" s="66"/>
      <c r="I1063" s="66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142"/>
      <c r="W1063" s="141"/>
      <c r="X1063" s="74"/>
      <c r="Y1063" s="75"/>
      <c r="Z1063" s="75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</row>
    <row r="1064" spans="1:45" ht="15.75" customHeight="1">
      <c r="A1064" s="20"/>
      <c r="B1064" s="71"/>
      <c r="C1064" s="20"/>
      <c r="D1064" s="20"/>
      <c r="E1064" s="20"/>
      <c r="F1064" s="20"/>
      <c r="G1064" s="20"/>
      <c r="H1064" s="66"/>
      <c r="I1064" s="66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142"/>
      <c r="W1064" s="141"/>
      <c r="X1064" s="74"/>
      <c r="Y1064" s="75"/>
      <c r="Z1064" s="75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</row>
    <row r="1065" spans="1:45" ht="15.75" customHeight="1">
      <c r="A1065" s="20"/>
      <c r="B1065" s="71"/>
      <c r="C1065" s="20"/>
      <c r="D1065" s="20"/>
      <c r="E1065" s="20"/>
      <c r="F1065" s="20"/>
      <c r="G1065" s="20"/>
      <c r="H1065" s="66"/>
      <c r="I1065" s="66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142"/>
      <c r="W1065" s="141"/>
      <c r="X1065" s="74"/>
      <c r="Y1065" s="75"/>
      <c r="Z1065" s="75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</row>
    <row r="1066" spans="1:45" ht="15.75" customHeight="1">
      <c r="A1066" s="20"/>
      <c r="B1066" s="71"/>
      <c r="C1066" s="20"/>
      <c r="D1066" s="20"/>
      <c r="E1066" s="20"/>
      <c r="F1066" s="20"/>
      <c r="G1066" s="20"/>
      <c r="H1066" s="66"/>
      <c r="I1066" s="66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142"/>
      <c r="W1066" s="141"/>
      <c r="X1066" s="74"/>
      <c r="Y1066" s="75"/>
      <c r="Z1066" s="75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</row>
    <row r="1067" spans="1:45" ht="15.75" customHeight="1">
      <c r="A1067" s="20"/>
      <c r="B1067" s="71"/>
      <c r="C1067" s="20"/>
      <c r="D1067" s="20"/>
      <c r="E1067" s="20"/>
      <c r="F1067" s="20"/>
      <c r="G1067" s="20"/>
      <c r="H1067" s="66"/>
      <c r="I1067" s="66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142"/>
      <c r="W1067" s="141"/>
      <c r="X1067" s="74"/>
      <c r="Y1067" s="75"/>
      <c r="Z1067" s="75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</row>
    <row r="1068" spans="1:45" ht="15.75" customHeight="1">
      <c r="A1068" s="20"/>
      <c r="B1068" s="71"/>
      <c r="C1068" s="20"/>
      <c r="D1068" s="20"/>
      <c r="E1068" s="20"/>
      <c r="F1068" s="20"/>
      <c r="G1068" s="20"/>
      <c r="H1068" s="66"/>
      <c r="I1068" s="66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142"/>
      <c r="W1068" s="141"/>
      <c r="X1068" s="74"/>
      <c r="Y1068" s="75"/>
      <c r="Z1068" s="75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</row>
    <row r="1069" spans="1:45" ht="15.75" customHeight="1">
      <c r="A1069" s="20"/>
      <c r="B1069" s="71"/>
      <c r="C1069" s="20"/>
      <c r="D1069" s="20"/>
      <c r="E1069" s="20"/>
      <c r="F1069" s="20"/>
      <c r="G1069" s="20"/>
      <c r="H1069" s="66"/>
      <c r="I1069" s="66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142"/>
      <c r="W1069" s="141"/>
      <c r="X1069" s="74"/>
      <c r="Y1069" s="75"/>
      <c r="Z1069" s="75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</row>
    <row r="1070" spans="1:45" ht="15.75" customHeight="1">
      <c r="A1070" s="20"/>
      <c r="B1070" s="71"/>
      <c r="C1070" s="20"/>
      <c r="D1070" s="20"/>
      <c r="E1070" s="20"/>
      <c r="F1070" s="20"/>
      <c r="G1070" s="20"/>
      <c r="H1070" s="66"/>
      <c r="I1070" s="66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142"/>
      <c r="W1070" s="141"/>
      <c r="X1070" s="74"/>
      <c r="Y1070" s="75"/>
      <c r="Z1070" s="75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</row>
    <row r="1071" spans="1:45" ht="15.75" customHeight="1">
      <c r="A1071" s="20"/>
      <c r="B1071" s="71"/>
      <c r="C1071" s="20"/>
      <c r="D1071" s="20"/>
      <c r="E1071" s="20"/>
      <c r="F1071" s="20"/>
      <c r="G1071" s="20"/>
      <c r="H1071" s="66"/>
      <c r="I1071" s="66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142"/>
      <c r="W1071" s="141"/>
      <c r="X1071" s="74"/>
      <c r="Y1071" s="75"/>
      <c r="Z1071" s="75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</row>
    <row r="1072" spans="1:45" ht="15.75" customHeight="1">
      <c r="A1072" s="20"/>
      <c r="B1072" s="71"/>
      <c r="C1072" s="20"/>
      <c r="D1072" s="20"/>
      <c r="E1072" s="20"/>
      <c r="F1072" s="20"/>
      <c r="G1072" s="20"/>
      <c r="H1072" s="66"/>
      <c r="I1072" s="66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142"/>
      <c r="W1072" s="141"/>
      <c r="X1072" s="74"/>
      <c r="Y1072" s="75"/>
      <c r="Z1072" s="75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</row>
    <row r="1073" spans="1:45" ht="15.75" customHeight="1">
      <c r="A1073" s="20"/>
      <c r="B1073" s="71"/>
      <c r="C1073" s="20"/>
      <c r="D1073" s="20"/>
      <c r="E1073" s="20"/>
      <c r="F1073" s="20"/>
      <c r="G1073" s="20"/>
      <c r="H1073" s="66"/>
      <c r="I1073" s="66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142"/>
      <c r="W1073" s="141"/>
      <c r="X1073" s="74"/>
      <c r="Y1073" s="75"/>
      <c r="Z1073" s="75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</row>
    <row r="1074" spans="1:45" ht="15.75" customHeight="1">
      <c r="A1074" s="20"/>
      <c r="B1074" s="71"/>
      <c r="C1074" s="20"/>
      <c r="D1074" s="20"/>
      <c r="E1074" s="20"/>
      <c r="F1074" s="20"/>
      <c r="G1074" s="20"/>
      <c r="H1074" s="66"/>
      <c r="I1074" s="66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142"/>
      <c r="W1074" s="141"/>
      <c r="X1074" s="74"/>
      <c r="Y1074" s="75"/>
      <c r="Z1074" s="75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</row>
    <row r="1075" spans="1:45" ht="15.75" customHeight="1">
      <c r="A1075" s="20"/>
      <c r="B1075" s="71"/>
      <c r="C1075" s="20"/>
      <c r="D1075" s="20"/>
      <c r="E1075" s="20"/>
      <c r="F1075" s="20"/>
      <c r="G1075" s="20"/>
      <c r="H1075" s="66"/>
      <c r="I1075" s="66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142"/>
      <c r="W1075" s="141"/>
      <c r="X1075" s="74"/>
      <c r="Y1075" s="75"/>
      <c r="Z1075" s="75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</row>
    <row r="1076" spans="1:45" ht="15.75" customHeight="1">
      <c r="A1076" s="20"/>
      <c r="B1076" s="71"/>
      <c r="C1076" s="20"/>
      <c r="D1076" s="20"/>
      <c r="E1076" s="20"/>
      <c r="F1076" s="20"/>
      <c r="G1076" s="20"/>
      <c r="H1076" s="66"/>
      <c r="I1076" s="66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142"/>
      <c r="W1076" s="141"/>
      <c r="X1076" s="74"/>
      <c r="Y1076" s="75"/>
      <c r="Z1076" s="75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</row>
    <row r="1077" spans="1:45" ht="15.75" customHeight="1">
      <c r="A1077" s="20"/>
      <c r="B1077" s="71"/>
      <c r="C1077" s="20"/>
      <c r="D1077" s="20"/>
      <c r="E1077" s="20"/>
      <c r="F1077" s="20"/>
      <c r="G1077" s="20"/>
      <c r="H1077" s="66"/>
      <c r="I1077" s="66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142"/>
      <c r="W1077" s="141"/>
      <c r="X1077" s="74"/>
      <c r="Y1077" s="75"/>
      <c r="Z1077" s="75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</row>
    <row r="1078" spans="1:45" ht="15.75" customHeight="1">
      <c r="A1078" s="20"/>
      <c r="B1078" s="71"/>
      <c r="C1078" s="20"/>
      <c r="D1078" s="20"/>
      <c r="E1078" s="20"/>
      <c r="F1078" s="20"/>
      <c r="G1078" s="20"/>
      <c r="H1078" s="66"/>
      <c r="I1078" s="66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142"/>
      <c r="W1078" s="141"/>
      <c r="X1078" s="74"/>
      <c r="Y1078" s="75"/>
      <c r="Z1078" s="75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</row>
    <row r="1079" spans="1:45" ht="15.75" customHeight="1">
      <c r="A1079" s="20"/>
      <c r="B1079" s="71"/>
      <c r="C1079" s="20"/>
      <c r="D1079" s="20"/>
      <c r="E1079" s="20"/>
      <c r="F1079" s="20"/>
      <c r="G1079" s="20"/>
      <c r="H1079" s="66"/>
      <c r="I1079" s="66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142"/>
      <c r="W1079" s="141"/>
      <c r="X1079" s="74"/>
      <c r="Y1079" s="75"/>
      <c r="Z1079" s="75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</row>
    <row r="1080" spans="1:45" ht="15.75" customHeight="1">
      <c r="A1080" s="20"/>
      <c r="B1080" s="71"/>
      <c r="C1080" s="20"/>
      <c r="D1080" s="20"/>
      <c r="E1080" s="20"/>
      <c r="F1080" s="20"/>
      <c r="G1080" s="20"/>
      <c r="H1080" s="66"/>
      <c r="I1080" s="66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142"/>
      <c r="W1080" s="141"/>
      <c r="X1080" s="74"/>
      <c r="Y1080" s="75"/>
      <c r="Z1080" s="75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</row>
    <row r="1081" spans="1:45" ht="15.75" customHeight="1">
      <c r="A1081" s="20"/>
      <c r="B1081" s="71"/>
      <c r="C1081" s="20"/>
      <c r="D1081" s="20"/>
      <c r="E1081" s="20"/>
      <c r="F1081" s="20"/>
      <c r="G1081" s="20"/>
      <c r="H1081" s="66"/>
      <c r="I1081" s="66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145"/>
      <c r="W1081" s="155"/>
      <c r="X1081" s="74"/>
      <c r="Y1081" s="75"/>
      <c r="Z1081" s="75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</row>
  </sheetData>
  <hyperlinks>
    <hyperlink ref="Y71" r:id="rId1" xr:uid="{91B5DCC4-3186-4570-A8C4-A2E2EFA3C64F}"/>
    <hyperlink ref="Y82" r:id="rId2" xr:uid="{3C807070-3385-4928-90E7-676256509EB1}"/>
    <hyperlink ref="Y146" r:id="rId3" location=":~:text=2024%20%E5%B9%B41%2D12%20%E6%9C%88%EF%BC%8C%E9%95%BF%E8%A7%86%E9%A2%91%E5%92%8C%E7%9F%AD%E8%A7%86%E9%A2%91%E5%B9%B3%E5%8F%B08%E5%85%B1%E4%B8%8A%E7%BA%BF%E5%BE%AE%E7%9F%AD%E5%89%A71424%20%E9%83%A8%E3%80%82%209%E6%9A%91%E6%9C%9F%EF%BC%887%2D8%20%E6%9C%88%EF%BC%89%E6%98%AF%E5%BE%AE%E7%9F%AD%20%E5%89%A7%E4%B8%8A%E6%96%B0%E7%9A%84%E9%AB%98%E5%B3%B0%E3%80%82&amp;text=2024%20%E5%B9%B4%EF%BC%8C%E5%B0%8F%E7%A8%8B%E5%BA%8F%E5%92%8CAPP%20%E5%B9%B3%E5%8F%B010%E5%85%B1%E4%B8%8A%E7%BA%BF%E5%BE%AE%E7%9F%AD%E5%89%A735527%20%E9%83%A8%E3%80%82%2011%E9%99%A4%E4%B8%AA%E5%88%AB%E6%9C%88%E4%BB%BD%E5%87%BA%E7%8E%B0%E6%B3%A2%E5%8A%A8%E5%A4%96%EF%BC%8C%E6%95%B4%E4%BD%93%20%E5%91%88%E5%A2%9E%E9%95%BF%E8%B6%8B%E5%8A%BF%E3%80%82%20%E5%88%86%E5%B9%B3%E5%8F%B0%E7%9C%8B%EF%BC%8C%E5%B0%8F%E7%A8%8B%E5%BA%8F%E4%BB%8D%E6%98%AF%E5%BE%AE%E7%9F%AD%E5%89%A7%E5%8F%91%E8%A1%8C%E7%9A%84%E6%9C%80%E4%B8%BB%E8%A6%81%E6%B8%A0%E9%81%93%E3%80%82" xr:uid="{987FEBE7-511D-470E-8FE4-463AD6F8F2F8}"/>
    <hyperlink ref="Y227" r:id="rId4" xr:uid="{676C8A2D-4679-4EF4-ABEF-60CAF67E0861}"/>
    <hyperlink ref="Y235" r:id="rId5" xr:uid="{1235369F-2310-417A-A195-650AEE99DA5F}"/>
    <hyperlink ref="Y274" r:id="rId6" location=":~:text=%E9%AB%98%E7%AD%89%E6%95%99%E8%82%B2%E4%B8%93%E4%BB%BB%E6%95%99%E5%B8%88207.49,%E9%AB%98%E7%AD%89%E5%AD%A6%E6%A0%A11.41%E4%B8%87%E4%BA%BA%E3%80%82" xr:uid="{7E11FF89-8812-45E5-B823-E7FD5E3F4687}"/>
    <hyperlink ref="Y298" r:id="rId7" location=":~:text=%E9%AB%98%E7%AD%89%E6%95%99%E8%82%B2%E4%B8%93%E4%BB%BB%E6%95%99%E5%B8%88207.49,%E9%AB%98%E7%AD%89%E5%AD%A6%E6%A0%A11.41%E4%B8%87%E4%BA%BA%E3%80%82" xr:uid="{D21D9B28-DD5F-4AF9-B802-343F693A3885}"/>
    <hyperlink ref="Y304" r:id="rId8" xr:uid="{93204936-0E85-414F-AE98-F89612A64396}"/>
    <hyperlink ref="Y327" r:id="rId9" xr:uid="{48911BC9-8FE1-4C93-850B-B342D8CE1426}"/>
    <hyperlink ref="Y328" r:id="rId10" xr:uid="{E4660E32-0A64-48AE-AF6D-477089602ED9}"/>
    <hyperlink ref="Y333" r:id="rId11" xr:uid="{CF4B51C7-52BF-4F5E-9097-B4D08F438436}"/>
    <hyperlink ref="Y350" r:id="rId12" xr:uid="{011E2A3E-B297-43F8-9EE9-85CB52680E78}"/>
  </hyperlinks>
  <pageMargins left="0.7" right="0.7" top="0.75" bottom="0.75" header="0" footer="0"/>
  <pageSetup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7D80-4DE1-433E-9714-B82B0B76AB54}">
  <sheetPr>
    <outlinePr summaryBelow="0" summaryRight="0"/>
  </sheetPr>
  <dimension ref="A1:AG1007"/>
  <sheetViews>
    <sheetView workbookViewId="0">
      <pane xSplit="5" ySplit="2" topLeftCell="F3" activePane="bottomRight" state="frozen"/>
      <selection pane="bottomRight" activeCell="H13" sqref="H13"/>
      <selection pane="bottomLeft" activeCell="A3" sqref="A3"/>
      <selection pane="topRight" activeCell="F1" sqref="F1"/>
    </sheetView>
  </sheetViews>
  <sheetFormatPr defaultColWidth="12.7109375" defaultRowHeight="15" customHeight="1"/>
  <cols>
    <col min="1" max="1" width="8.28515625" style="32" customWidth="1"/>
    <col min="2" max="3" width="4.28515625" style="32" customWidth="1"/>
    <col min="4" max="4" width="2.7109375" style="32" customWidth="1"/>
    <col min="5" max="6" width="7.140625" style="32" customWidth="1"/>
    <col min="7" max="33" width="9.7109375" style="32" customWidth="1"/>
    <col min="34" max="16384" width="12.7109375" style="32"/>
  </cols>
  <sheetData>
    <row r="1" spans="1:33" ht="15.75" customHeight="1">
      <c r="A1" s="274" t="s">
        <v>315</v>
      </c>
      <c r="B1" s="275">
        <v>6.8</v>
      </c>
      <c r="C1" s="258"/>
      <c r="E1" s="276"/>
      <c r="F1" s="276"/>
      <c r="G1" s="258"/>
      <c r="H1" s="258"/>
      <c r="I1" s="258"/>
      <c r="J1" s="258"/>
      <c r="K1" s="258"/>
    </row>
    <row r="2" spans="1:33" ht="15.75" customHeight="1">
      <c r="A2" s="277"/>
      <c r="B2" s="278"/>
      <c r="C2" s="278"/>
      <c r="D2" s="278"/>
      <c r="E2" s="279"/>
      <c r="F2" s="280" t="s">
        <v>316</v>
      </c>
      <c r="G2" s="278">
        <v>2021</v>
      </c>
      <c r="H2" s="278">
        <v>2022</v>
      </c>
      <c r="I2" s="278">
        <v>2023</v>
      </c>
      <c r="J2" s="278">
        <v>2024</v>
      </c>
      <c r="K2" s="278" t="s">
        <v>317</v>
      </c>
      <c r="L2" s="278"/>
      <c r="M2" s="278" t="s">
        <v>318</v>
      </c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</row>
    <row r="3" spans="1:33" ht="15.75" customHeight="1">
      <c r="A3" s="281"/>
      <c r="B3" s="282"/>
      <c r="C3" s="282"/>
      <c r="D3" s="282"/>
      <c r="E3" s="283"/>
      <c r="F3" s="283"/>
      <c r="G3" s="282"/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  <c r="AC3" s="282"/>
      <c r="AD3" s="282"/>
      <c r="AE3" s="282"/>
      <c r="AF3" s="282"/>
      <c r="AG3" s="282"/>
    </row>
    <row r="4" spans="1:33" ht="15.75" customHeight="1">
      <c r="A4" s="274"/>
      <c r="B4" s="258" t="s">
        <v>319</v>
      </c>
      <c r="E4" s="276"/>
      <c r="F4" s="276"/>
      <c r="G4" s="284"/>
      <c r="H4" s="284"/>
      <c r="I4" s="284"/>
      <c r="J4" s="284"/>
      <c r="K4" s="284"/>
      <c r="N4" s="258"/>
    </row>
    <row r="5" spans="1:33" ht="15.75" customHeight="1">
      <c r="A5" s="274"/>
      <c r="B5" s="258" t="s">
        <v>320</v>
      </c>
      <c r="E5" s="276" t="s">
        <v>321</v>
      </c>
      <c r="F5" s="276"/>
      <c r="G5" s="284"/>
      <c r="H5" s="284">
        <v>2.2746996887999997</v>
      </c>
      <c r="I5" s="284">
        <v>5.3080585757999996</v>
      </c>
      <c r="J5" s="285">
        <v>6.5606227128999999</v>
      </c>
      <c r="K5" s="284">
        <v>3.2112622954000001</v>
      </c>
      <c r="L5" s="286">
        <f>Q5/J16</f>
        <v>0</v>
      </c>
      <c r="M5" s="286">
        <f>J5/$O$67</f>
        <v>0.16126971988229258</v>
      </c>
      <c r="N5" s="258" t="s">
        <v>322</v>
      </c>
    </row>
    <row r="6" spans="1:33" ht="15.75" customHeight="1">
      <c r="A6" s="274"/>
      <c r="B6" s="258" t="s">
        <v>323</v>
      </c>
      <c r="D6" s="258"/>
      <c r="E6" s="276" t="s">
        <v>321</v>
      </c>
      <c r="F6" s="276" t="s">
        <v>324</v>
      </c>
      <c r="J6" s="287">
        <f>J25</f>
        <v>0.62</v>
      </c>
    </row>
    <row r="7" spans="1:33" ht="15.75" customHeight="1">
      <c r="A7" s="274"/>
      <c r="B7" s="258" t="s">
        <v>325</v>
      </c>
      <c r="D7" s="258"/>
      <c r="E7" s="276" t="s">
        <v>321</v>
      </c>
      <c r="F7" s="276" t="s">
        <v>326</v>
      </c>
      <c r="J7" s="287">
        <f>J37+J38</f>
        <v>0.54</v>
      </c>
    </row>
    <row r="8" spans="1:33" ht="15.75" customHeight="1">
      <c r="A8" s="274"/>
      <c r="B8" s="258" t="s">
        <v>327</v>
      </c>
      <c r="D8" s="258"/>
      <c r="E8" s="276" t="s">
        <v>321</v>
      </c>
      <c r="F8" s="276" t="s">
        <v>328</v>
      </c>
      <c r="J8" s="287">
        <f>J42</f>
        <v>0.55000000000000004</v>
      </c>
    </row>
    <row r="9" spans="1:33" ht="15.75" customHeight="1">
      <c r="A9" s="274"/>
      <c r="B9" s="258" t="s">
        <v>329</v>
      </c>
      <c r="D9" s="258"/>
      <c r="E9" s="276" t="s">
        <v>321</v>
      </c>
      <c r="F9" s="276" t="s">
        <v>330</v>
      </c>
      <c r="J9" s="287">
        <f>J47</f>
        <v>2.1</v>
      </c>
    </row>
    <row r="10" spans="1:33" ht="15.75" customHeight="1">
      <c r="A10" s="274"/>
      <c r="B10" s="258" t="s">
        <v>331</v>
      </c>
      <c r="D10" s="258"/>
      <c r="E10" s="276" t="s">
        <v>321</v>
      </c>
      <c r="F10" s="276" t="s">
        <v>332</v>
      </c>
      <c r="J10" s="287">
        <f>J54</f>
        <v>2</v>
      </c>
    </row>
    <row r="11" spans="1:33" ht="15.75" customHeight="1">
      <c r="A11" s="274"/>
      <c r="B11" s="258" t="s">
        <v>333</v>
      </c>
      <c r="D11" s="258"/>
      <c r="E11" s="276" t="s">
        <v>321</v>
      </c>
      <c r="F11" s="276" t="s">
        <v>334</v>
      </c>
      <c r="J11" s="287">
        <f>J59</f>
        <v>1</v>
      </c>
    </row>
    <row r="12" spans="1:33" ht="15.75" customHeight="1">
      <c r="A12" s="274"/>
      <c r="B12" s="258" t="s">
        <v>335</v>
      </c>
      <c r="D12" s="258"/>
      <c r="E12" s="276" t="s">
        <v>321</v>
      </c>
      <c r="F12" s="276" t="s">
        <v>336</v>
      </c>
      <c r="J12" s="287">
        <f>J62</f>
        <v>1</v>
      </c>
    </row>
    <row r="13" spans="1:33" ht="15.75" customHeight="1">
      <c r="A13" s="274"/>
      <c r="B13" s="258" t="s">
        <v>337</v>
      </c>
      <c r="E13" s="276" t="s">
        <v>321</v>
      </c>
      <c r="F13" s="276" t="s">
        <v>338</v>
      </c>
      <c r="J13" s="287">
        <f>J65</f>
        <v>1</v>
      </c>
    </row>
    <row r="14" spans="1:33" ht="15.75" customHeight="1">
      <c r="A14" s="274"/>
      <c r="B14" s="258" t="s">
        <v>339</v>
      </c>
      <c r="E14" s="276" t="s">
        <v>321</v>
      </c>
      <c r="F14" s="276" t="s">
        <v>340</v>
      </c>
      <c r="J14" s="287">
        <f>J69</f>
        <v>0.5</v>
      </c>
    </row>
    <row r="15" spans="1:33" ht="15.75" customHeight="1">
      <c r="A15" s="274"/>
      <c r="B15" s="121" t="s">
        <v>341</v>
      </c>
      <c r="E15" s="276"/>
      <c r="F15" s="276"/>
      <c r="J15" s="288">
        <f>SUM(J5:J14)</f>
        <v>15.870622712899999</v>
      </c>
    </row>
    <row r="16" spans="1:33" ht="15.75" customHeight="1">
      <c r="A16" s="274"/>
      <c r="B16" s="121" t="s">
        <v>342</v>
      </c>
      <c r="E16" s="276"/>
      <c r="F16" s="276"/>
      <c r="J16" s="288">
        <f>J15/0.8</f>
        <v>19.838278391124998</v>
      </c>
      <c r="K16" s="286">
        <f>J15/J16</f>
        <v>0.8</v>
      </c>
    </row>
    <row r="17" spans="1:33" ht="15.75" customHeight="1">
      <c r="A17" s="274"/>
      <c r="C17" s="121" t="s">
        <v>97</v>
      </c>
      <c r="E17" s="276"/>
      <c r="F17" s="276"/>
      <c r="J17" s="288">
        <f t="shared" ref="J17:J22" si="0">$J$16*K17</f>
        <v>3.9676556782249999</v>
      </c>
      <c r="K17" s="79">
        <v>0.2</v>
      </c>
    </row>
    <row r="18" spans="1:33" ht="15.75" customHeight="1">
      <c r="A18" s="274"/>
      <c r="C18" s="121" t="s">
        <v>343</v>
      </c>
      <c r="E18" s="276"/>
      <c r="F18" s="276"/>
      <c r="J18" s="288">
        <f t="shared" si="0"/>
        <v>3.9676556782249999</v>
      </c>
      <c r="K18" s="79">
        <v>0.2</v>
      </c>
    </row>
    <row r="19" spans="1:33" ht="15.75" customHeight="1">
      <c r="A19" s="274"/>
      <c r="C19" s="121" t="s">
        <v>344</v>
      </c>
      <c r="E19" s="276"/>
      <c r="F19" s="276"/>
      <c r="J19" s="288">
        <f t="shared" si="0"/>
        <v>2.9757417586687498</v>
      </c>
      <c r="K19" s="79">
        <v>0.15</v>
      </c>
    </row>
    <row r="20" spans="1:33" ht="15.75" customHeight="1">
      <c r="A20" s="274"/>
      <c r="C20" s="121" t="s">
        <v>345</v>
      </c>
      <c r="E20" s="276"/>
      <c r="F20" s="276"/>
      <c r="J20" s="288">
        <f t="shared" si="0"/>
        <v>2.9757417586687498</v>
      </c>
      <c r="K20" s="79">
        <v>0.15</v>
      </c>
    </row>
    <row r="21" spans="1:33" ht="15.75" customHeight="1">
      <c r="A21" s="274"/>
      <c r="C21" s="121" t="s">
        <v>346</v>
      </c>
      <c r="E21" s="276"/>
      <c r="F21" s="276"/>
      <c r="J21" s="288">
        <f t="shared" si="0"/>
        <v>2.9757417586687498</v>
      </c>
      <c r="K21" s="79">
        <v>0.15</v>
      </c>
    </row>
    <row r="22" spans="1:33" ht="15.75" customHeight="1">
      <c r="A22" s="274"/>
      <c r="C22" s="121" t="s">
        <v>347</v>
      </c>
      <c r="E22" s="276"/>
      <c r="F22" s="276"/>
      <c r="J22" s="288">
        <f t="shared" si="0"/>
        <v>2.9757417586687498</v>
      </c>
      <c r="K22" s="79">
        <v>0.15</v>
      </c>
      <c r="L22" s="121">
        <f>J16*0.2</f>
        <v>3.9676556782249999</v>
      </c>
      <c r="M22" s="121"/>
      <c r="N22" s="121">
        <f>J16*0.15</f>
        <v>2.9757417586687498</v>
      </c>
    </row>
    <row r="23" spans="1:33" ht="15.75" customHeight="1">
      <c r="A23" s="281"/>
      <c r="B23" s="282"/>
      <c r="C23" s="282"/>
      <c r="D23" s="282"/>
      <c r="E23" s="283"/>
      <c r="F23" s="283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3" ht="15.75" customHeight="1">
      <c r="A24" s="289">
        <v>1</v>
      </c>
      <c r="B24" s="289" t="s">
        <v>323</v>
      </c>
      <c r="C24" s="289"/>
      <c r="D24" s="289"/>
      <c r="E24" s="290"/>
      <c r="F24" s="290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89"/>
      <c r="R24" s="289"/>
      <c r="S24" s="289"/>
      <c r="T24" s="289"/>
      <c r="U24" s="289"/>
      <c r="V24" s="289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</row>
    <row r="25" spans="1:33" ht="15.75" customHeight="1">
      <c r="A25" s="291" t="s">
        <v>348</v>
      </c>
      <c r="B25" s="258" t="s">
        <v>314</v>
      </c>
      <c r="E25" s="276" t="s">
        <v>321</v>
      </c>
      <c r="F25" s="276"/>
      <c r="J25" s="292">
        <v>0.62</v>
      </c>
      <c r="K25" s="292">
        <v>0.33</v>
      </c>
      <c r="N25" s="258" t="s">
        <v>349</v>
      </c>
    </row>
    <row r="26" spans="1:33" ht="15.75" customHeight="1">
      <c r="A26" s="274"/>
      <c r="B26" s="258"/>
      <c r="E26" s="276"/>
      <c r="F26" s="276"/>
    </row>
    <row r="27" spans="1:33" ht="15.75" customHeight="1">
      <c r="A27" s="274"/>
      <c r="B27" s="258"/>
      <c r="E27" s="276"/>
      <c r="F27" s="276"/>
    </row>
    <row r="28" spans="1:33" ht="15.75" customHeight="1">
      <c r="A28" s="289">
        <v>2</v>
      </c>
      <c r="B28" s="289" t="s">
        <v>325</v>
      </c>
      <c r="C28" s="289"/>
      <c r="D28" s="289"/>
      <c r="E28" s="290"/>
      <c r="F28" s="290"/>
      <c r="G28" s="289"/>
      <c r="H28" s="289"/>
      <c r="I28" s="289"/>
      <c r="J28" s="289"/>
      <c r="K28" s="289"/>
      <c r="L28" s="289"/>
      <c r="M28" s="289"/>
      <c r="N28" s="289"/>
      <c r="O28" s="289"/>
      <c r="P28" s="289"/>
      <c r="Q28" s="289"/>
      <c r="R28" s="289"/>
      <c r="S28" s="289"/>
      <c r="T28" s="289"/>
      <c r="U28" s="289"/>
      <c r="V28" s="289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</row>
    <row r="29" spans="1:33" ht="15.75" customHeight="1">
      <c r="A29" s="291" t="s">
        <v>350</v>
      </c>
      <c r="B29" s="258" t="s">
        <v>351</v>
      </c>
      <c r="E29" s="276" t="s">
        <v>321</v>
      </c>
      <c r="F29" s="276"/>
      <c r="I29" s="293">
        <f t="shared" ref="I29:J29" si="1">I31+I30</f>
        <v>2.04495</v>
      </c>
      <c r="J29" s="293">
        <f t="shared" si="1"/>
        <v>2.3809999999999998</v>
      </c>
      <c r="K29" s="293"/>
      <c r="L29" s="293"/>
      <c r="M29" s="293"/>
      <c r="N29" s="293"/>
      <c r="O29" s="293"/>
    </row>
    <row r="30" spans="1:33" ht="15.75" customHeight="1">
      <c r="A30" s="291" t="s">
        <v>350</v>
      </c>
      <c r="C30" s="258" t="s">
        <v>352</v>
      </c>
      <c r="E30" s="276" t="s">
        <v>321</v>
      </c>
      <c r="F30" s="276"/>
      <c r="I30" s="284">
        <v>1.17605</v>
      </c>
      <c r="J30" s="284">
        <v>2.2167699999999999</v>
      </c>
    </row>
    <row r="31" spans="1:33" ht="15.75" customHeight="1">
      <c r="A31" s="291" t="s">
        <v>350</v>
      </c>
      <c r="C31" s="258" t="s">
        <v>353</v>
      </c>
      <c r="E31" s="276" t="s">
        <v>321</v>
      </c>
      <c r="F31" s="276"/>
      <c r="I31" s="284">
        <v>0.86890000000000001</v>
      </c>
      <c r="J31" s="284">
        <v>0.16422999999999999</v>
      </c>
      <c r="N31" s="258" t="s">
        <v>354</v>
      </c>
    </row>
    <row r="32" spans="1:33" ht="15.75" customHeight="1">
      <c r="A32" s="291" t="s">
        <v>350</v>
      </c>
      <c r="B32" s="258" t="s">
        <v>355</v>
      </c>
      <c r="E32" s="276" t="s">
        <v>321</v>
      </c>
      <c r="F32" s="276"/>
      <c r="I32" s="284">
        <v>1.6381300000000001</v>
      </c>
      <c r="J32" s="284">
        <v>1.5224800000000001</v>
      </c>
    </row>
    <row r="33" spans="1:33" ht="15.75" customHeight="1">
      <c r="A33" s="291"/>
      <c r="E33" s="276"/>
      <c r="F33" s="276"/>
    </row>
    <row r="34" spans="1:33" ht="15.75" customHeight="1">
      <c r="A34" s="274"/>
      <c r="E34" s="276"/>
      <c r="F34" s="276"/>
    </row>
    <row r="35" spans="1:33" ht="15.75" customHeight="1">
      <c r="A35" s="274"/>
      <c r="B35" s="258" t="s">
        <v>356</v>
      </c>
      <c r="E35" s="276" t="s">
        <v>321</v>
      </c>
      <c r="F35" s="276"/>
      <c r="J35" s="293">
        <f>J30</f>
        <v>2.2167699999999999</v>
      </c>
    </row>
    <row r="36" spans="1:33" ht="15.75" customHeight="1">
      <c r="A36" s="291" t="s">
        <v>348</v>
      </c>
      <c r="C36" s="293" t="s">
        <v>357</v>
      </c>
      <c r="E36" s="276" t="s">
        <v>321</v>
      </c>
      <c r="F36" s="276"/>
      <c r="J36" s="293">
        <f>J30-J37-J38</f>
        <v>1.6767699999999999</v>
      </c>
    </row>
    <row r="37" spans="1:33" ht="15.75" customHeight="1">
      <c r="A37" s="291" t="s">
        <v>348</v>
      </c>
      <c r="C37" s="258" t="s">
        <v>358</v>
      </c>
      <c r="E37" s="276" t="s">
        <v>321</v>
      </c>
      <c r="F37" s="276"/>
      <c r="J37" s="292">
        <v>0.24</v>
      </c>
      <c r="L37" s="258" t="s">
        <v>359</v>
      </c>
      <c r="M37" s="258"/>
      <c r="N37" s="258" t="s">
        <v>360</v>
      </c>
    </row>
    <row r="38" spans="1:33" ht="15.75" customHeight="1">
      <c r="A38" s="291" t="s">
        <v>348</v>
      </c>
      <c r="C38" s="258" t="s">
        <v>361</v>
      </c>
      <c r="E38" s="276" t="s">
        <v>321</v>
      </c>
      <c r="F38" s="276"/>
      <c r="J38" s="294">
        <v>0.3</v>
      </c>
      <c r="L38" s="258" t="s">
        <v>359</v>
      </c>
      <c r="M38" s="258"/>
      <c r="N38" s="258" t="s">
        <v>362</v>
      </c>
    </row>
    <row r="39" spans="1:33" ht="15.75" customHeight="1">
      <c r="A39" s="274"/>
      <c r="E39" s="276"/>
      <c r="F39" s="276"/>
      <c r="J39" s="292"/>
    </row>
    <row r="40" spans="1:33" ht="15.75" customHeight="1">
      <c r="A40" s="274"/>
      <c r="E40" s="276"/>
      <c r="F40" s="276"/>
    </row>
    <row r="41" spans="1:33" ht="15.75" customHeight="1">
      <c r="A41" s="289">
        <v>3</v>
      </c>
      <c r="B41" s="289" t="s">
        <v>327</v>
      </c>
      <c r="C41" s="289"/>
      <c r="D41" s="289"/>
      <c r="E41" s="290"/>
      <c r="F41" s="290"/>
      <c r="G41" s="289"/>
      <c r="H41" s="289"/>
      <c r="I41" s="289"/>
      <c r="J41" s="289"/>
      <c r="K41" s="289"/>
      <c r="L41" s="258" t="s">
        <v>363</v>
      </c>
      <c r="M41" s="258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</row>
    <row r="42" spans="1:33" ht="15.75" customHeight="1">
      <c r="A42" s="291" t="s">
        <v>348</v>
      </c>
      <c r="B42" s="258" t="s">
        <v>314</v>
      </c>
      <c r="E42" s="276" t="s">
        <v>321</v>
      </c>
      <c r="F42" s="276"/>
      <c r="G42" s="294">
        <v>0.8</v>
      </c>
      <c r="H42" s="294">
        <v>1</v>
      </c>
      <c r="I42" s="294">
        <v>1</v>
      </c>
      <c r="J42" s="294">
        <v>0.55000000000000004</v>
      </c>
      <c r="K42" s="294">
        <v>0.45</v>
      </c>
      <c r="N42" s="258" t="s">
        <v>349</v>
      </c>
    </row>
    <row r="43" spans="1:33" ht="15.75" customHeight="1">
      <c r="A43" s="274"/>
      <c r="B43" s="258" t="s">
        <v>364</v>
      </c>
      <c r="E43" s="276"/>
      <c r="F43" s="276"/>
    </row>
    <row r="44" spans="1:33" ht="15.75" customHeight="1">
      <c r="A44" s="274"/>
      <c r="E44" s="276"/>
      <c r="F44" s="276"/>
    </row>
    <row r="45" spans="1:33" ht="15.75" customHeight="1">
      <c r="A45" s="274"/>
      <c r="E45" s="276"/>
      <c r="F45" s="276"/>
    </row>
    <row r="46" spans="1:33" ht="15.75" customHeight="1">
      <c r="A46" s="289">
        <v>4</v>
      </c>
      <c r="B46" s="289" t="s">
        <v>329</v>
      </c>
      <c r="C46" s="289"/>
      <c r="D46" s="289"/>
      <c r="E46" s="276" t="s">
        <v>321</v>
      </c>
      <c r="F46" s="276"/>
      <c r="G46" s="289"/>
      <c r="H46" s="294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</row>
    <row r="47" spans="1:33" ht="15.75" customHeight="1">
      <c r="A47" s="291" t="s">
        <v>348</v>
      </c>
      <c r="B47" s="258" t="s">
        <v>314</v>
      </c>
      <c r="E47" s="276" t="s">
        <v>321</v>
      </c>
      <c r="F47" s="276"/>
      <c r="G47" s="294"/>
      <c r="H47" s="294"/>
      <c r="I47" s="294">
        <v>1.6</v>
      </c>
      <c r="J47" s="294">
        <v>2.1</v>
      </c>
      <c r="K47" s="294">
        <v>1.4</v>
      </c>
      <c r="L47" s="258" t="s">
        <v>365</v>
      </c>
      <c r="M47" s="286">
        <f>J47/$O$67</f>
        <v>5.1621077232028988E-2</v>
      </c>
      <c r="N47" s="258" t="s">
        <v>349</v>
      </c>
    </row>
    <row r="48" spans="1:33" ht="15.75" customHeight="1">
      <c r="A48" s="289"/>
      <c r="B48" s="258"/>
      <c r="C48" s="258" t="s">
        <v>366</v>
      </c>
      <c r="D48" s="258"/>
      <c r="E48" s="276" t="s">
        <v>321</v>
      </c>
      <c r="F48" s="276"/>
      <c r="G48" s="289"/>
      <c r="H48" s="289"/>
      <c r="I48" s="289"/>
      <c r="J48" s="293">
        <f>J47*0.3</f>
        <v>0.63</v>
      </c>
      <c r="K48" s="289"/>
      <c r="L48" s="258" t="s">
        <v>367</v>
      </c>
      <c r="M48" s="258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</row>
    <row r="49" spans="1:33" ht="15.75" customHeight="1">
      <c r="A49" s="289"/>
      <c r="B49" s="258"/>
      <c r="C49" s="258" t="s">
        <v>368</v>
      </c>
      <c r="D49" s="258"/>
      <c r="E49" s="276" t="s">
        <v>321</v>
      </c>
      <c r="F49" s="276"/>
      <c r="G49" s="289"/>
      <c r="H49" s="289"/>
      <c r="I49" s="289"/>
      <c r="J49" s="293">
        <f>J47*0.6</f>
        <v>1.26</v>
      </c>
      <c r="K49" s="289"/>
      <c r="L49" s="258"/>
      <c r="M49" s="258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</row>
    <row r="50" spans="1:33" ht="15.75" customHeight="1">
      <c r="A50" s="289"/>
      <c r="B50" s="258"/>
      <c r="C50" s="258" t="s">
        <v>369</v>
      </c>
      <c r="D50" s="258"/>
      <c r="E50" s="276" t="s">
        <v>321</v>
      </c>
      <c r="F50" s="276"/>
      <c r="G50" s="289"/>
      <c r="H50" s="289"/>
      <c r="I50" s="289"/>
      <c r="J50" s="293">
        <f>J47*0.05</f>
        <v>0.10500000000000001</v>
      </c>
      <c r="K50" s="289"/>
      <c r="L50" s="258"/>
      <c r="M50" s="258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</row>
    <row r="51" spans="1:33" ht="15.75" customHeight="1">
      <c r="A51" s="289"/>
      <c r="B51" s="258"/>
      <c r="C51" s="258"/>
      <c r="D51" s="258"/>
      <c r="E51" s="290"/>
      <c r="F51" s="290"/>
      <c r="G51" s="289"/>
      <c r="H51" s="289"/>
      <c r="I51" s="289"/>
      <c r="J51" s="293"/>
      <c r="K51" s="289"/>
      <c r="L51" s="258"/>
      <c r="M51" s="258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</row>
    <row r="52" spans="1:33" ht="15.75" customHeight="1">
      <c r="A52" s="289"/>
      <c r="B52" s="258"/>
      <c r="C52" s="258"/>
      <c r="D52" s="258"/>
      <c r="E52" s="290"/>
      <c r="F52" s="290"/>
      <c r="G52" s="289"/>
      <c r="H52" s="289"/>
      <c r="I52" s="289"/>
      <c r="J52" s="289"/>
      <c r="K52" s="289"/>
      <c r="L52" s="258"/>
      <c r="M52" s="258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</row>
    <row r="53" spans="1:33" ht="15.75" customHeight="1">
      <c r="A53" s="289">
        <v>5</v>
      </c>
      <c r="B53" s="289" t="s">
        <v>331</v>
      </c>
      <c r="C53" s="289"/>
      <c r="D53" s="289"/>
      <c r="E53" s="276" t="s">
        <v>321</v>
      </c>
      <c r="F53" s="276"/>
      <c r="G53" s="289"/>
      <c r="H53" s="289"/>
      <c r="I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</row>
    <row r="54" spans="1:33" ht="15.75" customHeight="1">
      <c r="A54" s="289"/>
      <c r="B54" s="258" t="s">
        <v>314</v>
      </c>
      <c r="C54" s="289"/>
      <c r="D54" s="289"/>
      <c r="E54" s="290"/>
      <c r="F54" s="290"/>
      <c r="G54" s="289"/>
      <c r="H54" s="289"/>
      <c r="I54" s="289"/>
      <c r="J54" s="295">
        <f>2</f>
        <v>2</v>
      </c>
      <c r="K54" s="289"/>
      <c r="L54" s="258" t="s">
        <v>370</v>
      </c>
      <c r="M54" s="258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</row>
    <row r="55" spans="1:33" ht="15.75" customHeight="1">
      <c r="A55" s="289"/>
      <c r="B55" s="289"/>
      <c r="C55" s="289"/>
      <c r="D55" s="289"/>
      <c r="E55" s="290"/>
      <c r="F55" s="290"/>
      <c r="G55" s="289"/>
      <c r="H55" s="289"/>
      <c r="I55" s="289"/>
      <c r="J55" s="289"/>
      <c r="K55" s="289"/>
      <c r="L55" s="258"/>
      <c r="M55" s="258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</row>
    <row r="56" spans="1:33" ht="15.75" customHeight="1">
      <c r="A56" s="289"/>
      <c r="B56" s="289"/>
      <c r="C56" s="289"/>
      <c r="D56" s="289"/>
      <c r="E56" s="290"/>
      <c r="F56" s="290"/>
      <c r="G56" s="289"/>
      <c r="H56" s="289"/>
      <c r="I56" s="289"/>
      <c r="J56" s="289"/>
      <c r="K56" s="289"/>
      <c r="L56" s="258"/>
      <c r="M56" s="258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</row>
    <row r="57" spans="1:33" ht="15.75" customHeight="1">
      <c r="A57" s="289"/>
      <c r="B57" s="289"/>
      <c r="C57" s="289"/>
      <c r="D57" s="289"/>
      <c r="E57" s="290"/>
      <c r="F57" s="290"/>
      <c r="G57" s="289"/>
      <c r="H57" s="289"/>
      <c r="I57" s="289"/>
      <c r="J57" s="289"/>
      <c r="K57" s="289"/>
      <c r="L57" s="258"/>
      <c r="M57" s="258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</row>
    <row r="58" spans="1:33" ht="15.75" customHeight="1">
      <c r="A58" s="289">
        <v>6</v>
      </c>
      <c r="B58" s="289" t="s">
        <v>333</v>
      </c>
      <c r="C58" s="289"/>
      <c r="D58" s="289"/>
      <c r="E58" s="276" t="s">
        <v>321</v>
      </c>
      <c r="F58" s="276"/>
      <c r="G58" s="289"/>
      <c r="H58" s="289"/>
      <c r="I58" s="289"/>
      <c r="K58" s="289"/>
      <c r="L58" s="258"/>
      <c r="M58" s="258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</row>
    <row r="59" spans="1:33" ht="15.75" customHeight="1">
      <c r="A59" s="289"/>
      <c r="B59" s="258" t="s">
        <v>314</v>
      </c>
      <c r="C59" s="289"/>
      <c r="D59" s="289"/>
      <c r="E59" s="290"/>
      <c r="F59" s="290"/>
      <c r="G59" s="289"/>
      <c r="H59" s="289"/>
      <c r="I59" s="289"/>
      <c r="J59" s="295">
        <v>1</v>
      </c>
      <c r="K59" s="289"/>
      <c r="L59" s="258"/>
      <c r="M59" s="258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</row>
    <row r="60" spans="1:33" ht="15.75" customHeight="1">
      <c r="A60" s="289"/>
      <c r="B60" s="289"/>
      <c r="C60" s="289"/>
      <c r="D60" s="289"/>
      <c r="E60" s="290"/>
      <c r="F60" s="290"/>
      <c r="G60" s="289"/>
      <c r="H60" s="289"/>
      <c r="I60" s="289"/>
      <c r="J60" s="289"/>
      <c r="K60" s="289"/>
      <c r="L60" s="258"/>
      <c r="M60" s="258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</row>
    <row r="61" spans="1:33" ht="15.75" customHeight="1">
      <c r="A61" s="289">
        <v>7</v>
      </c>
      <c r="B61" s="289" t="s">
        <v>335</v>
      </c>
      <c r="C61" s="289"/>
      <c r="D61" s="289"/>
      <c r="E61" s="290"/>
      <c r="F61" s="290"/>
      <c r="G61" s="289"/>
      <c r="H61" s="289"/>
      <c r="I61" s="289"/>
      <c r="J61" s="289"/>
      <c r="K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</row>
    <row r="62" spans="1:33" ht="15.75" customHeight="1">
      <c r="A62" s="289"/>
      <c r="B62" s="258" t="s">
        <v>314</v>
      </c>
      <c r="C62" s="289"/>
      <c r="D62" s="289"/>
      <c r="E62" s="276" t="s">
        <v>321</v>
      </c>
      <c r="F62" s="276"/>
      <c r="G62" s="289"/>
      <c r="H62" s="289"/>
      <c r="I62" s="289"/>
      <c r="J62" s="295">
        <v>1</v>
      </c>
      <c r="K62" s="289"/>
      <c r="L62" s="258" t="s">
        <v>371</v>
      </c>
      <c r="M62" s="258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</row>
    <row r="63" spans="1:33" ht="15.75" customHeight="1">
      <c r="A63" s="289"/>
      <c r="B63" s="289"/>
      <c r="C63" s="289"/>
      <c r="D63" s="289"/>
      <c r="E63" s="290"/>
      <c r="F63" s="290"/>
      <c r="G63" s="289"/>
      <c r="H63" s="289"/>
      <c r="I63" s="289"/>
      <c r="J63" s="289"/>
      <c r="K63" s="289"/>
      <c r="L63" s="258"/>
      <c r="M63" s="258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</row>
    <row r="64" spans="1:33" ht="15.75" customHeight="1">
      <c r="A64" s="289">
        <v>8</v>
      </c>
      <c r="B64" s="289" t="s">
        <v>337</v>
      </c>
      <c r="C64" s="289"/>
      <c r="D64" s="289"/>
      <c r="E64" s="290"/>
      <c r="F64" s="290"/>
      <c r="G64" s="289"/>
      <c r="H64" s="289"/>
      <c r="I64" s="289"/>
      <c r="J64" s="289"/>
      <c r="K64" s="289"/>
      <c r="L64" s="258"/>
      <c r="M64" s="258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</row>
    <row r="65" spans="1:15" ht="15.75" customHeight="1">
      <c r="A65" s="274"/>
      <c r="B65" s="258" t="s">
        <v>314</v>
      </c>
      <c r="C65" s="289"/>
      <c r="D65" s="289"/>
      <c r="E65" s="276" t="s">
        <v>321</v>
      </c>
      <c r="F65" s="276"/>
      <c r="J65" s="295">
        <v>1</v>
      </c>
      <c r="L65" s="258" t="s">
        <v>372</v>
      </c>
      <c r="M65" s="258"/>
    </row>
    <row r="66" spans="1:15" ht="15.75" customHeight="1">
      <c r="A66" s="274"/>
      <c r="E66" s="276"/>
      <c r="F66" s="276"/>
      <c r="O66" s="296" t="s">
        <v>373</v>
      </c>
    </row>
    <row r="67" spans="1:15" ht="15.75" customHeight="1">
      <c r="A67" s="274"/>
      <c r="E67" s="276"/>
      <c r="F67" s="276"/>
      <c r="O67" s="32">
        <f>[1]数字人市场规模!M7*10</f>
        <v>40.681057285201845</v>
      </c>
    </row>
    <row r="68" spans="1:15" ht="15.75" customHeight="1">
      <c r="A68" s="289">
        <v>9</v>
      </c>
      <c r="B68" s="289" t="s">
        <v>339</v>
      </c>
      <c r="E68" s="276"/>
      <c r="F68" s="276"/>
    </row>
    <row r="69" spans="1:15" ht="15.75" customHeight="1">
      <c r="A69" s="274"/>
      <c r="B69" s="258" t="s">
        <v>314</v>
      </c>
      <c r="C69" s="289"/>
      <c r="D69" s="289"/>
      <c r="E69" s="276" t="s">
        <v>321</v>
      </c>
      <c r="F69" s="276"/>
      <c r="J69" s="295">
        <v>0.5</v>
      </c>
    </row>
    <row r="70" spans="1:15" ht="15.75" customHeight="1">
      <c r="A70" s="274"/>
      <c r="E70" s="276"/>
      <c r="F70" s="276"/>
    </row>
    <row r="71" spans="1:15" ht="15.75" customHeight="1">
      <c r="A71" s="274"/>
      <c r="E71" s="276"/>
      <c r="F71" s="276"/>
    </row>
    <row r="72" spans="1:15" ht="15.75" customHeight="1">
      <c r="A72" s="274">
        <v>10</v>
      </c>
      <c r="B72" s="289" t="s">
        <v>374</v>
      </c>
      <c r="E72" s="276" t="s">
        <v>321</v>
      </c>
      <c r="F72" s="276" t="s">
        <v>375</v>
      </c>
      <c r="I72" s="297">
        <f t="shared" ref="I72:K72" si="2">I73*$B$1/100</f>
        <v>2.9103999999999997</v>
      </c>
      <c r="J72" s="297">
        <f t="shared" si="2"/>
        <v>8.4319999999999986</v>
      </c>
      <c r="K72" s="297">
        <f t="shared" si="2"/>
        <v>10.199999999999999</v>
      </c>
      <c r="M72" s="286">
        <f>J72/$O$67</f>
        <v>0.20727091581927065</v>
      </c>
      <c r="N72" s="298" t="s">
        <v>376</v>
      </c>
    </row>
    <row r="73" spans="1:15" ht="15.75" customHeight="1">
      <c r="A73" s="274"/>
      <c r="B73" s="258" t="s">
        <v>314</v>
      </c>
      <c r="E73" s="276" t="s">
        <v>377</v>
      </c>
      <c r="F73" s="276"/>
      <c r="I73" s="299">
        <v>42.8</v>
      </c>
      <c r="J73" s="275">
        <f>62/0.5</f>
        <v>124</v>
      </c>
      <c r="K73" s="275">
        <f>100/4*6</f>
        <v>150</v>
      </c>
    </row>
    <row r="74" spans="1:15" ht="15.75" customHeight="1">
      <c r="A74" s="274"/>
      <c r="J74" s="258" t="s">
        <v>378</v>
      </c>
      <c r="K74" s="258" t="s">
        <v>379</v>
      </c>
    </row>
    <row r="75" spans="1:15" ht="15.75" customHeight="1"/>
    <row r="76" spans="1:15" ht="15.75" customHeight="1">
      <c r="A76" s="274">
        <v>11</v>
      </c>
      <c r="B76" s="289" t="s">
        <v>380</v>
      </c>
      <c r="E76" s="276" t="s">
        <v>321</v>
      </c>
      <c r="F76" s="276" t="s">
        <v>381</v>
      </c>
      <c r="H76" s="297">
        <f t="shared" ref="H76:J76" si="3">H77*$B$1/100</f>
        <v>0.36719999999999997</v>
      </c>
      <c r="I76" s="297">
        <f t="shared" si="3"/>
        <v>0</v>
      </c>
      <c r="J76" s="297">
        <f t="shared" si="3"/>
        <v>2.38</v>
      </c>
      <c r="M76" s="286">
        <f>J76/$O$67</f>
        <v>5.8503887529632849E-2</v>
      </c>
      <c r="N76" s="298" t="s">
        <v>382</v>
      </c>
    </row>
    <row r="77" spans="1:15" ht="15.75" customHeight="1">
      <c r="A77" s="274"/>
      <c r="B77" s="258" t="s">
        <v>314</v>
      </c>
      <c r="E77" s="276" t="s">
        <v>377</v>
      </c>
      <c r="F77" s="276"/>
      <c r="H77" s="258">
        <v>5.4</v>
      </c>
      <c r="I77" s="299"/>
      <c r="J77" s="299">
        <v>35</v>
      </c>
    </row>
    <row r="78" spans="1:15" ht="15.75" customHeight="1">
      <c r="A78" s="274"/>
      <c r="J78" s="258" t="s">
        <v>383</v>
      </c>
    </row>
    <row r="79" spans="1:15" ht="15.75" customHeight="1">
      <c r="A79" s="274"/>
      <c r="B79" s="258"/>
      <c r="E79" s="276"/>
      <c r="F79" s="276"/>
      <c r="H79" s="297"/>
      <c r="I79" s="297"/>
      <c r="J79" s="297"/>
      <c r="N79" s="258"/>
    </row>
    <row r="80" spans="1:15" ht="15.75" customHeight="1">
      <c r="A80" s="274">
        <v>12</v>
      </c>
      <c r="B80" s="289" t="s">
        <v>384</v>
      </c>
      <c r="E80" s="276" t="s">
        <v>321</v>
      </c>
      <c r="F80" s="276"/>
      <c r="H80" s="297">
        <f t="shared" ref="H80:J80" si="4">H81*$B$1/100</f>
        <v>0</v>
      </c>
      <c r="I80" s="297">
        <f t="shared" si="4"/>
        <v>0.34</v>
      </c>
      <c r="J80" s="297">
        <f t="shared" si="4"/>
        <v>0.92479999999999984</v>
      </c>
      <c r="M80" s="286">
        <f>J80/$O$67</f>
        <v>2.273293915437162E-2</v>
      </c>
      <c r="N80" s="298" t="s">
        <v>385</v>
      </c>
    </row>
    <row r="81" spans="1:33" ht="15.75" customHeight="1">
      <c r="A81" s="274"/>
      <c r="E81" s="276" t="s">
        <v>377</v>
      </c>
      <c r="F81" s="276"/>
      <c r="I81" s="299">
        <v>5</v>
      </c>
      <c r="J81" s="299">
        <f>6.8*2</f>
        <v>13.6</v>
      </c>
    </row>
    <row r="82" spans="1:33" ht="15.75" customHeight="1">
      <c r="A82" s="274"/>
      <c r="E82" s="276"/>
      <c r="F82" s="276"/>
      <c r="J82" s="258" t="s">
        <v>386</v>
      </c>
    </row>
    <row r="83" spans="1:33" ht="15.75" customHeight="1">
      <c r="A83" s="274"/>
      <c r="B83" s="258"/>
      <c r="E83" s="276"/>
      <c r="F83" s="276"/>
      <c r="J83" s="297"/>
    </row>
    <row r="84" spans="1:33" ht="15.75" customHeight="1">
      <c r="A84" s="274">
        <v>13</v>
      </c>
      <c r="B84" s="289" t="s">
        <v>387</v>
      </c>
      <c r="E84" s="276" t="s">
        <v>321</v>
      </c>
      <c r="F84" s="276" t="s">
        <v>388</v>
      </c>
      <c r="J84" s="297">
        <f>J85*$B$1/100</f>
        <v>2.6452</v>
      </c>
      <c r="M84" s="286">
        <f>J84/$O$67</f>
        <v>6.5022892140077657E-2</v>
      </c>
    </row>
    <row r="85" spans="1:33" ht="15.75" customHeight="1">
      <c r="A85" s="274"/>
      <c r="E85" s="276" t="s">
        <v>377</v>
      </c>
      <c r="F85" s="276"/>
      <c r="J85" s="299">
        <v>38.9</v>
      </c>
      <c r="N85" s="298" t="s">
        <v>389</v>
      </c>
    </row>
    <row r="86" spans="1:33" ht="15.75" customHeight="1">
      <c r="A86" s="274"/>
      <c r="E86" s="276"/>
      <c r="F86" s="276"/>
    </row>
    <row r="87" spans="1:33" ht="15.75" customHeight="1">
      <c r="A87" s="281"/>
      <c r="B87" s="282"/>
      <c r="C87" s="282"/>
      <c r="D87" s="282"/>
      <c r="E87" s="283"/>
      <c r="F87" s="283"/>
      <c r="G87" s="282"/>
      <c r="H87" s="282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  <c r="AA87" s="282"/>
      <c r="AB87" s="282"/>
      <c r="AC87" s="282"/>
      <c r="AD87" s="282"/>
      <c r="AE87" s="282"/>
      <c r="AF87" s="282"/>
      <c r="AG87" s="282"/>
    </row>
    <row r="88" spans="1:33" ht="15.75" customHeight="1">
      <c r="A88" s="274" t="s">
        <v>390</v>
      </c>
      <c r="B88" s="258" t="s">
        <v>391</v>
      </c>
      <c r="E88" s="276" t="s">
        <v>321</v>
      </c>
      <c r="F88" s="276"/>
      <c r="I88" s="293">
        <f>J88/1.853</f>
        <v>22.234214786832165</v>
      </c>
      <c r="J88" s="258">
        <v>41.2</v>
      </c>
      <c r="L88" s="258">
        <v>250.5</v>
      </c>
      <c r="M88" s="258"/>
      <c r="N88" s="258" t="s">
        <v>392</v>
      </c>
    </row>
    <row r="89" spans="1:33" ht="15.75" customHeight="1">
      <c r="A89" s="274"/>
      <c r="C89" s="258" t="s">
        <v>337</v>
      </c>
      <c r="E89" s="276" t="s">
        <v>321</v>
      </c>
      <c r="F89" s="276"/>
      <c r="J89" s="258">
        <v>4</v>
      </c>
    </row>
    <row r="90" spans="1:33" ht="15.75" customHeight="1">
      <c r="A90" s="274"/>
      <c r="C90" s="258" t="s">
        <v>339</v>
      </c>
      <c r="E90" s="276" t="s">
        <v>321</v>
      </c>
      <c r="F90" s="276"/>
      <c r="J90" s="258">
        <v>4</v>
      </c>
    </row>
    <row r="91" spans="1:33" ht="15.75" customHeight="1">
      <c r="A91" s="274"/>
      <c r="C91" s="258" t="s">
        <v>323</v>
      </c>
      <c r="E91" s="276" t="s">
        <v>321</v>
      </c>
      <c r="F91" s="276"/>
      <c r="J91" s="258">
        <v>2.1</v>
      </c>
    </row>
    <row r="92" spans="1:33" ht="15.75" customHeight="1">
      <c r="A92" s="274"/>
      <c r="C92" s="258" t="s">
        <v>393</v>
      </c>
      <c r="E92" s="276" t="s">
        <v>321</v>
      </c>
      <c r="F92" s="276"/>
      <c r="J92" s="258">
        <v>1.8</v>
      </c>
    </row>
    <row r="93" spans="1:33" ht="15.75" customHeight="1">
      <c r="A93" s="274"/>
      <c r="C93" s="258" t="s">
        <v>394</v>
      </c>
      <c r="E93" s="276" t="s">
        <v>321</v>
      </c>
      <c r="F93" s="276"/>
      <c r="J93" s="258">
        <v>1</v>
      </c>
    </row>
    <row r="94" spans="1:33" ht="15.75" customHeight="1">
      <c r="A94" s="274"/>
      <c r="C94" s="258" t="s">
        <v>395</v>
      </c>
      <c r="E94" s="276" t="s">
        <v>321</v>
      </c>
      <c r="F94" s="276"/>
      <c r="J94" s="258">
        <f>J88-SUM(J89:J93)</f>
        <v>28.300000000000004</v>
      </c>
    </row>
    <row r="95" spans="1:33" ht="15.75" customHeight="1">
      <c r="A95" s="274"/>
      <c r="E95" s="276"/>
      <c r="F95" s="276"/>
    </row>
    <row r="96" spans="1:33" ht="15.75" customHeight="1">
      <c r="A96" s="274" t="s">
        <v>390</v>
      </c>
      <c r="B96" s="258" t="s">
        <v>396</v>
      </c>
      <c r="E96" s="276" t="s">
        <v>321</v>
      </c>
      <c r="F96" s="276"/>
      <c r="I96" s="293">
        <f>J96/2.012</f>
        <v>14.363817097415506</v>
      </c>
      <c r="J96" s="258">
        <v>28.9</v>
      </c>
    </row>
    <row r="97" spans="1:10" ht="15.75" customHeight="1">
      <c r="A97" s="274"/>
      <c r="C97" s="258" t="s">
        <v>339</v>
      </c>
      <c r="E97" s="276" t="s">
        <v>321</v>
      </c>
      <c r="F97" s="276"/>
      <c r="J97" s="258">
        <v>3.5</v>
      </c>
    </row>
    <row r="98" spans="1:10" ht="15.75" customHeight="1">
      <c r="A98" s="274"/>
      <c r="C98" s="258" t="s">
        <v>337</v>
      </c>
      <c r="E98" s="276" t="s">
        <v>321</v>
      </c>
      <c r="F98" s="276"/>
      <c r="J98" s="258">
        <v>1.8</v>
      </c>
    </row>
    <row r="99" spans="1:10" ht="15.75" customHeight="1">
      <c r="A99" s="274"/>
      <c r="C99" s="258" t="s">
        <v>323</v>
      </c>
      <c r="E99" s="276" t="s">
        <v>321</v>
      </c>
      <c r="F99" s="276"/>
      <c r="J99" s="258">
        <v>1.3</v>
      </c>
    </row>
    <row r="100" spans="1:10" ht="15.75" customHeight="1">
      <c r="A100" s="274"/>
      <c r="C100" s="258" t="s">
        <v>393</v>
      </c>
      <c r="E100" s="276" t="s">
        <v>321</v>
      </c>
      <c r="F100" s="276"/>
      <c r="J100" s="258">
        <v>1.2</v>
      </c>
    </row>
    <row r="101" spans="1:10" ht="15.75" customHeight="1">
      <c r="A101" s="274"/>
      <c r="C101" s="258" t="s">
        <v>395</v>
      </c>
      <c r="E101" s="276" t="s">
        <v>321</v>
      </c>
      <c r="F101" s="276"/>
      <c r="J101" s="258">
        <f>J96- SUM(J97:J100)</f>
        <v>21.099999999999998</v>
      </c>
    </row>
    <row r="102" spans="1:10" ht="15.75" customHeight="1">
      <c r="A102" s="274"/>
      <c r="E102" s="276"/>
      <c r="F102" s="276"/>
    </row>
    <row r="103" spans="1:10" ht="15.75" customHeight="1">
      <c r="A103" s="274"/>
      <c r="E103" s="276"/>
      <c r="F103" s="276"/>
    </row>
    <row r="104" spans="1:10" ht="15.75" customHeight="1">
      <c r="A104" s="274"/>
      <c r="E104" s="276"/>
      <c r="F104" s="276"/>
    </row>
    <row r="105" spans="1:10" ht="15.75" customHeight="1">
      <c r="A105" s="274"/>
      <c r="E105" s="276"/>
      <c r="F105" s="276"/>
    </row>
    <row r="106" spans="1:10" ht="15.75" customHeight="1">
      <c r="A106" s="274"/>
      <c r="E106" s="276"/>
      <c r="F106" s="276"/>
    </row>
    <row r="107" spans="1:10" ht="15.75" customHeight="1">
      <c r="A107" s="274"/>
      <c r="E107" s="276"/>
      <c r="F107" s="276"/>
    </row>
    <row r="108" spans="1:10" ht="15.75" customHeight="1">
      <c r="A108" s="274"/>
      <c r="E108" s="276"/>
      <c r="F108" s="276"/>
    </row>
    <row r="109" spans="1:10" ht="15.75" customHeight="1">
      <c r="A109" s="274"/>
      <c r="E109" s="276"/>
      <c r="F109" s="276"/>
    </row>
    <row r="110" spans="1:10" ht="15.75" customHeight="1">
      <c r="A110" s="274"/>
      <c r="E110" s="276"/>
      <c r="F110" s="276"/>
    </row>
    <row r="111" spans="1:10" ht="15.75" customHeight="1">
      <c r="A111" s="274"/>
      <c r="E111" s="276"/>
      <c r="F111" s="276"/>
    </row>
    <row r="112" spans="1:10" ht="15.75" customHeight="1">
      <c r="A112" s="274"/>
      <c r="E112" s="276"/>
      <c r="F112" s="276"/>
    </row>
    <row r="113" spans="1:6" ht="15.75" customHeight="1">
      <c r="A113" s="274"/>
      <c r="E113" s="276"/>
      <c r="F113" s="276"/>
    </row>
    <row r="114" spans="1:6" ht="15.75" customHeight="1">
      <c r="A114" s="274"/>
      <c r="E114" s="276"/>
      <c r="F114" s="276"/>
    </row>
    <row r="115" spans="1:6" ht="15.75" customHeight="1">
      <c r="A115" s="274"/>
      <c r="E115" s="276"/>
      <c r="F115" s="276"/>
    </row>
    <row r="116" spans="1:6" ht="15.75" customHeight="1">
      <c r="A116" s="274"/>
      <c r="E116" s="276"/>
      <c r="F116" s="276"/>
    </row>
    <row r="117" spans="1:6" ht="15.75" customHeight="1">
      <c r="A117" s="274"/>
      <c r="E117" s="276"/>
      <c r="F117" s="276"/>
    </row>
    <row r="118" spans="1:6" ht="15.75" customHeight="1">
      <c r="A118" s="274"/>
      <c r="E118" s="276"/>
      <c r="F118" s="276"/>
    </row>
    <row r="119" spans="1:6" ht="15.75" customHeight="1">
      <c r="A119" s="274"/>
      <c r="E119" s="276"/>
      <c r="F119" s="276"/>
    </row>
    <row r="120" spans="1:6" ht="15.75" customHeight="1">
      <c r="A120" s="274"/>
      <c r="E120" s="276"/>
      <c r="F120" s="276"/>
    </row>
    <row r="121" spans="1:6" ht="15.75" customHeight="1">
      <c r="A121" s="274"/>
      <c r="E121" s="276"/>
      <c r="F121" s="276"/>
    </row>
    <row r="122" spans="1:6" ht="15.75" customHeight="1">
      <c r="A122" s="274"/>
      <c r="E122" s="276"/>
      <c r="F122" s="276"/>
    </row>
    <row r="123" spans="1:6" ht="15.75" customHeight="1">
      <c r="A123" s="274"/>
      <c r="E123" s="276"/>
      <c r="F123" s="276"/>
    </row>
    <row r="124" spans="1:6" ht="15.75" customHeight="1">
      <c r="A124" s="274"/>
      <c r="E124" s="276"/>
      <c r="F124" s="276"/>
    </row>
    <row r="125" spans="1:6" ht="15.75" customHeight="1">
      <c r="A125" s="274"/>
      <c r="E125" s="276"/>
      <c r="F125" s="276"/>
    </row>
    <row r="126" spans="1:6" ht="15.75" customHeight="1">
      <c r="A126" s="274"/>
      <c r="E126" s="276"/>
      <c r="F126" s="276"/>
    </row>
    <row r="127" spans="1:6" ht="15.75" customHeight="1">
      <c r="A127" s="274"/>
      <c r="E127" s="276"/>
      <c r="F127" s="276"/>
    </row>
    <row r="128" spans="1:6" ht="15.75" customHeight="1">
      <c r="A128" s="274"/>
      <c r="E128" s="276"/>
      <c r="F128" s="276"/>
    </row>
    <row r="129" spans="1:6" ht="15.75" customHeight="1">
      <c r="A129" s="274"/>
      <c r="E129" s="276"/>
      <c r="F129" s="276"/>
    </row>
    <row r="130" spans="1:6" ht="15.75" customHeight="1">
      <c r="A130" s="274"/>
      <c r="E130" s="276"/>
      <c r="F130" s="276"/>
    </row>
    <row r="131" spans="1:6" ht="15.75" customHeight="1">
      <c r="A131" s="274"/>
      <c r="E131" s="276"/>
      <c r="F131" s="276"/>
    </row>
    <row r="132" spans="1:6" ht="15.75" customHeight="1">
      <c r="A132" s="274"/>
      <c r="E132" s="276"/>
      <c r="F132" s="276"/>
    </row>
    <row r="133" spans="1:6" ht="15.75" customHeight="1">
      <c r="A133" s="274"/>
      <c r="E133" s="276"/>
      <c r="F133" s="276"/>
    </row>
    <row r="134" spans="1:6" ht="15.75" customHeight="1">
      <c r="A134" s="274"/>
      <c r="E134" s="276"/>
      <c r="F134" s="276"/>
    </row>
    <row r="135" spans="1:6" ht="15.75" customHeight="1">
      <c r="A135" s="274"/>
      <c r="E135" s="276"/>
      <c r="F135" s="276"/>
    </row>
    <row r="136" spans="1:6" ht="15.75" customHeight="1">
      <c r="A136" s="274"/>
      <c r="E136" s="276"/>
      <c r="F136" s="276"/>
    </row>
    <row r="137" spans="1:6" ht="15.75" customHeight="1">
      <c r="A137" s="274"/>
      <c r="E137" s="276"/>
      <c r="F137" s="276"/>
    </row>
    <row r="138" spans="1:6" ht="15.75" customHeight="1">
      <c r="A138" s="274"/>
      <c r="E138" s="276"/>
      <c r="F138" s="276"/>
    </row>
    <row r="139" spans="1:6" ht="15.75" customHeight="1">
      <c r="A139" s="274"/>
      <c r="E139" s="276"/>
      <c r="F139" s="276"/>
    </row>
    <row r="140" spans="1:6" ht="15.75" customHeight="1">
      <c r="A140" s="274"/>
      <c r="E140" s="276"/>
      <c r="F140" s="276"/>
    </row>
    <row r="141" spans="1:6" ht="15.75" customHeight="1">
      <c r="A141" s="274"/>
      <c r="E141" s="276"/>
      <c r="F141" s="276"/>
    </row>
    <row r="142" spans="1:6" ht="15.75" customHeight="1">
      <c r="A142" s="274"/>
      <c r="E142" s="276"/>
      <c r="F142" s="276"/>
    </row>
    <row r="143" spans="1:6" ht="15.75" customHeight="1">
      <c r="A143" s="274"/>
      <c r="E143" s="276"/>
      <c r="F143" s="276"/>
    </row>
    <row r="144" spans="1:6" ht="15.75" customHeight="1">
      <c r="A144" s="274"/>
      <c r="E144" s="276"/>
      <c r="F144" s="276"/>
    </row>
    <row r="145" spans="1:6" ht="15.75" customHeight="1">
      <c r="A145" s="274"/>
      <c r="E145" s="276"/>
      <c r="F145" s="276"/>
    </row>
    <row r="146" spans="1:6" ht="15.75" customHeight="1">
      <c r="A146" s="274"/>
      <c r="E146" s="276"/>
      <c r="F146" s="276"/>
    </row>
    <row r="147" spans="1:6" ht="15.75" customHeight="1">
      <c r="A147" s="274"/>
      <c r="E147" s="276"/>
      <c r="F147" s="276"/>
    </row>
    <row r="148" spans="1:6" ht="15.75" customHeight="1">
      <c r="A148" s="274"/>
      <c r="E148" s="276"/>
      <c r="F148" s="276"/>
    </row>
    <row r="149" spans="1:6" ht="15.75" customHeight="1">
      <c r="A149" s="274"/>
      <c r="E149" s="276"/>
      <c r="F149" s="276"/>
    </row>
    <row r="150" spans="1:6" ht="15.75" customHeight="1">
      <c r="A150" s="274"/>
      <c r="E150" s="276"/>
      <c r="F150" s="276"/>
    </row>
    <row r="151" spans="1:6" ht="15.75" customHeight="1">
      <c r="A151" s="274"/>
      <c r="E151" s="276"/>
      <c r="F151" s="276"/>
    </row>
    <row r="152" spans="1:6" ht="15.75" customHeight="1">
      <c r="A152" s="274"/>
      <c r="E152" s="276"/>
      <c r="F152" s="276"/>
    </row>
    <row r="153" spans="1:6" ht="15.75" customHeight="1">
      <c r="A153" s="274"/>
      <c r="E153" s="276"/>
      <c r="F153" s="276"/>
    </row>
    <row r="154" spans="1:6" ht="15.75" customHeight="1">
      <c r="A154" s="274"/>
      <c r="E154" s="276"/>
      <c r="F154" s="276"/>
    </row>
    <row r="155" spans="1:6" ht="15.75" customHeight="1">
      <c r="A155" s="274"/>
      <c r="E155" s="276"/>
      <c r="F155" s="276"/>
    </row>
    <row r="156" spans="1:6" ht="15.75" customHeight="1">
      <c r="A156" s="274"/>
      <c r="E156" s="276"/>
      <c r="F156" s="276"/>
    </row>
    <row r="157" spans="1:6" ht="15.75" customHeight="1">
      <c r="A157" s="274"/>
      <c r="E157" s="276"/>
      <c r="F157" s="276"/>
    </row>
    <row r="158" spans="1:6" ht="15.75" customHeight="1">
      <c r="A158" s="274"/>
      <c r="E158" s="276"/>
      <c r="F158" s="276"/>
    </row>
    <row r="159" spans="1:6" ht="15.75" customHeight="1">
      <c r="A159" s="274"/>
      <c r="E159" s="276"/>
      <c r="F159" s="276"/>
    </row>
    <row r="160" spans="1:6" ht="15.75" customHeight="1">
      <c r="A160" s="274"/>
      <c r="E160" s="276"/>
      <c r="F160" s="276"/>
    </row>
    <row r="161" spans="1:6" ht="15.75" customHeight="1">
      <c r="A161" s="274"/>
      <c r="E161" s="276"/>
      <c r="F161" s="276"/>
    </row>
    <row r="162" spans="1:6" ht="15.75" customHeight="1">
      <c r="A162" s="274"/>
      <c r="E162" s="276"/>
      <c r="F162" s="276"/>
    </row>
    <row r="163" spans="1:6" ht="15.75" customHeight="1">
      <c r="A163" s="274"/>
      <c r="E163" s="276"/>
      <c r="F163" s="276"/>
    </row>
    <row r="164" spans="1:6" ht="15.75" customHeight="1">
      <c r="A164" s="274"/>
      <c r="E164" s="276"/>
      <c r="F164" s="276"/>
    </row>
    <row r="165" spans="1:6" ht="15.75" customHeight="1">
      <c r="A165" s="274"/>
      <c r="E165" s="276"/>
      <c r="F165" s="276"/>
    </row>
    <row r="166" spans="1:6" ht="15.75" customHeight="1">
      <c r="A166" s="274"/>
      <c r="E166" s="276"/>
      <c r="F166" s="276"/>
    </row>
    <row r="167" spans="1:6" ht="15.75" customHeight="1">
      <c r="A167" s="274"/>
      <c r="E167" s="276"/>
      <c r="F167" s="276"/>
    </row>
    <row r="168" spans="1:6" ht="15.75" customHeight="1">
      <c r="A168" s="274"/>
      <c r="E168" s="276"/>
      <c r="F168" s="276"/>
    </row>
    <row r="169" spans="1:6" ht="15.75" customHeight="1">
      <c r="A169" s="274"/>
      <c r="E169" s="276"/>
      <c r="F169" s="276"/>
    </row>
    <row r="170" spans="1:6" ht="15.75" customHeight="1">
      <c r="A170" s="274"/>
      <c r="E170" s="276"/>
      <c r="F170" s="276"/>
    </row>
    <row r="171" spans="1:6" ht="15.75" customHeight="1">
      <c r="A171" s="274"/>
      <c r="E171" s="276"/>
      <c r="F171" s="276"/>
    </row>
    <row r="172" spans="1:6" ht="15.75" customHeight="1">
      <c r="A172" s="274"/>
      <c r="E172" s="276"/>
      <c r="F172" s="276"/>
    </row>
    <row r="173" spans="1:6" ht="15.75" customHeight="1">
      <c r="A173" s="274"/>
      <c r="E173" s="276"/>
      <c r="F173" s="276"/>
    </row>
    <row r="174" spans="1:6" ht="15.75" customHeight="1">
      <c r="A174" s="274"/>
      <c r="E174" s="276"/>
      <c r="F174" s="276"/>
    </row>
    <row r="175" spans="1:6" ht="15.75" customHeight="1">
      <c r="A175" s="274"/>
      <c r="E175" s="276"/>
      <c r="F175" s="276"/>
    </row>
    <row r="176" spans="1:6" ht="15.75" customHeight="1">
      <c r="A176" s="274"/>
      <c r="E176" s="276"/>
      <c r="F176" s="276"/>
    </row>
    <row r="177" spans="1:6" ht="15.75" customHeight="1">
      <c r="A177" s="274"/>
      <c r="E177" s="276"/>
      <c r="F177" s="276"/>
    </row>
    <row r="178" spans="1:6" ht="15.75" customHeight="1">
      <c r="A178" s="274"/>
      <c r="E178" s="276"/>
      <c r="F178" s="276"/>
    </row>
    <row r="179" spans="1:6" ht="15.75" customHeight="1">
      <c r="A179" s="274"/>
      <c r="E179" s="276"/>
      <c r="F179" s="276"/>
    </row>
    <row r="180" spans="1:6" ht="15.75" customHeight="1">
      <c r="A180" s="274"/>
      <c r="E180" s="276"/>
      <c r="F180" s="276"/>
    </row>
    <row r="181" spans="1:6" ht="15.75" customHeight="1">
      <c r="A181" s="274"/>
      <c r="E181" s="276"/>
      <c r="F181" s="276"/>
    </row>
    <row r="182" spans="1:6" ht="15.75" customHeight="1">
      <c r="A182" s="274"/>
      <c r="E182" s="276"/>
      <c r="F182" s="276"/>
    </row>
    <row r="183" spans="1:6" ht="15.75" customHeight="1">
      <c r="A183" s="274"/>
      <c r="E183" s="276"/>
      <c r="F183" s="276"/>
    </row>
    <row r="184" spans="1:6" ht="15.75" customHeight="1">
      <c r="A184" s="274"/>
      <c r="E184" s="276"/>
      <c r="F184" s="276"/>
    </row>
    <row r="185" spans="1:6" ht="15.75" customHeight="1">
      <c r="A185" s="274"/>
      <c r="E185" s="276"/>
      <c r="F185" s="276"/>
    </row>
    <row r="186" spans="1:6" ht="15.75" customHeight="1">
      <c r="A186" s="274"/>
      <c r="E186" s="276"/>
      <c r="F186" s="276"/>
    </row>
    <row r="187" spans="1:6" ht="15.75" customHeight="1">
      <c r="A187" s="274"/>
      <c r="E187" s="276"/>
      <c r="F187" s="276"/>
    </row>
    <row r="188" spans="1:6" ht="15.75" customHeight="1">
      <c r="A188" s="274"/>
      <c r="E188" s="276"/>
      <c r="F188" s="276"/>
    </row>
    <row r="189" spans="1:6" ht="15.75" customHeight="1">
      <c r="A189" s="274"/>
      <c r="E189" s="276"/>
      <c r="F189" s="276"/>
    </row>
    <row r="190" spans="1:6" ht="15.75" customHeight="1">
      <c r="A190" s="274"/>
      <c r="E190" s="276"/>
      <c r="F190" s="276"/>
    </row>
    <row r="191" spans="1:6" ht="15.75" customHeight="1">
      <c r="A191" s="274"/>
      <c r="E191" s="276"/>
      <c r="F191" s="276"/>
    </row>
    <row r="192" spans="1:6" ht="15.75" customHeight="1">
      <c r="A192" s="274"/>
      <c r="E192" s="276"/>
      <c r="F192" s="276"/>
    </row>
    <row r="193" spans="1:6" ht="15.75" customHeight="1">
      <c r="A193" s="274"/>
      <c r="E193" s="276"/>
      <c r="F193" s="276"/>
    </row>
    <row r="194" spans="1:6" ht="15.75" customHeight="1">
      <c r="A194" s="274"/>
      <c r="E194" s="276"/>
      <c r="F194" s="276"/>
    </row>
    <row r="195" spans="1:6" ht="15.75" customHeight="1">
      <c r="A195" s="274"/>
      <c r="E195" s="276"/>
      <c r="F195" s="276"/>
    </row>
    <row r="196" spans="1:6" ht="15.75" customHeight="1">
      <c r="A196" s="274"/>
      <c r="E196" s="276"/>
      <c r="F196" s="276"/>
    </row>
    <row r="197" spans="1:6" ht="15.75" customHeight="1">
      <c r="A197" s="274"/>
      <c r="E197" s="276"/>
      <c r="F197" s="276"/>
    </row>
    <row r="198" spans="1:6" ht="15.75" customHeight="1">
      <c r="A198" s="274"/>
      <c r="E198" s="276"/>
      <c r="F198" s="276"/>
    </row>
    <row r="199" spans="1:6" ht="15.75" customHeight="1">
      <c r="A199" s="274"/>
      <c r="E199" s="276"/>
      <c r="F199" s="276"/>
    </row>
    <row r="200" spans="1:6" ht="15.75" customHeight="1">
      <c r="A200" s="274"/>
      <c r="E200" s="276"/>
      <c r="F200" s="276"/>
    </row>
    <row r="201" spans="1:6" ht="15.75" customHeight="1">
      <c r="A201" s="274"/>
      <c r="E201" s="276"/>
      <c r="F201" s="276"/>
    </row>
    <row r="202" spans="1:6" ht="15.75" customHeight="1">
      <c r="A202" s="274"/>
      <c r="E202" s="276"/>
      <c r="F202" s="276"/>
    </row>
    <row r="203" spans="1:6" ht="15.75" customHeight="1">
      <c r="A203" s="274"/>
      <c r="E203" s="276"/>
      <c r="F203" s="276"/>
    </row>
    <row r="204" spans="1:6" ht="15.75" customHeight="1">
      <c r="A204" s="274"/>
      <c r="E204" s="276"/>
      <c r="F204" s="276"/>
    </row>
    <row r="205" spans="1:6" ht="15.75" customHeight="1">
      <c r="A205" s="274"/>
      <c r="E205" s="276"/>
      <c r="F205" s="276"/>
    </row>
    <row r="206" spans="1:6" ht="15.75" customHeight="1">
      <c r="A206" s="274"/>
      <c r="E206" s="276"/>
      <c r="F206" s="276"/>
    </row>
    <row r="207" spans="1:6" ht="15.75" customHeight="1">
      <c r="A207" s="274"/>
      <c r="E207" s="276"/>
      <c r="F207" s="276"/>
    </row>
    <row r="208" spans="1:6" ht="15.75" customHeight="1">
      <c r="A208" s="274"/>
      <c r="E208" s="276"/>
      <c r="F208" s="276"/>
    </row>
    <row r="209" spans="1:6" ht="15.75" customHeight="1">
      <c r="A209" s="274"/>
      <c r="E209" s="276"/>
      <c r="F209" s="276"/>
    </row>
    <row r="210" spans="1:6" ht="15.75" customHeight="1">
      <c r="A210" s="274"/>
      <c r="E210" s="276"/>
      <c r="F210" s="276"/>
    </row>
    <row r="211" spans="1:6" ht="15.75" customHeight="1">
      <c r="A211" s="274"/>
      <c r="E211" s="276"/>
      <c r="F211" s="276"/>
    </row>
    <row r="212" spans="1:6" ht="15.75" customHeight="1">
      <c r="A212" s="274"/>
      <c r="E212" s="276"/>
      <c r="F212" s="276"/>
    </row>
    <row r="213" spans="1:6" ht="15.75" customHeight="1">
      <c r="A213" s="274"/>
      <c r="E213" s="276"/>
      <c r="F213" s="276"/>
    </row>
    <row r="214" spans="1:6" ht="15.75" customHeight="1">
      <c r="A214" s="274"/>
      <c r="E214" s="276"/>
      <c r="F214" s="276"/>
    </row>
    <row r="215" spans="1:6" ht="15.75" customHeight="1">
      <c r="A215" s="274"/>
      <c r="E215" s="276"/>
      <c r="F215" s="276"/>
    </row>
    <row r="216" spans="1:6" ht="15.75" customHeight="1">
      <c r="A216" s="274"/>
      <c r="E216" s="276"/>
      <c r="F216" s="276"/>
    </row>
    <row r="217" spans="1:6" ht="15.75" customHeight="1">
      <c r="A217" s="274"/>
      <c r="E217" s="276"/>
      <c r="F217" s="276"/>
    </row>
    <row r="218" spans="1:6" ht="15.75" customHeight="1">
      <c r="A218" s="274"/>
      <c r="E218" s="276"/>
      <c r="F218" s="276"/>
    </row>
    <row r="219" spans="1:6" ht="15.75" customHeight="1">
      <c r="A219" s="274"/>
      <c r="E219" s="276"/>
      <c r="F219" s="276"/>
    </row>
    <row r="220" spans="1:6" ht="15.75" customHeight="1">
      <c r="A220" s="274"/>
      <c r="E220" s="276"/>
      <c r="F220" s="276"/>
    </row>
    <row r="221" spans="1:6" ht="15.75" customHeight="1">
      <c r="A221" s="274"/>
      <c r="E221" s="276"/>
      <c r="F221" s="276"/>
    </row>
    <row r="222" spans="1:6" ht="15.75" customHeight="1">
      <c r="A222" s="274"/>
      <c r="E222" s="276"/>
      <c r="F222" s="276"/>
    </row>
    <row r="223" spans="1:6" ht="15.75" customHeight="1">
      <c r="A223" s="274"/>
      <c r="E223" s="276"/>
      <c r="F223" s="276"/>
    </row>
    <row r="224" spans="1:6" ht="15.75" customHeight="1">
      <c r="A224" s="274"/>
      <c r="E224" s="276"/>
      <c r="F224" s="276"/>
    </row>
    <row r="225" spans="1:6" ht="15.75" customHeight="1">
      <c r="A225" s="274"/>
      <c r="E225" s="276"/>
      <c r="F225" s="276"/>
    </row>
    <row r="226" spans="1:6" ht="15.75" customHeight="1">
      <c r="A226" s="274"/>
      <c r="E226" s="276"/>
      <c r="F226" s="276"/>
    </row>
    <row r="227" spans="1:6" ht="15.75" customHeight="1">
      <c r="A227" s="274"/>
      <c r="E227" s="276"/>
      <c r="F227" s="276"/>
    </row>
    <row r="228" spans="1:6" ht="15.75" customHeight="1">
      <c r="A228" s="274"/>
      <c r="E228" s="276"/>
      <c r="F228" s="276"/>
    </row>
    <row r="229" spans="1:6" ht="15.75" customHeight="1">
      <c r="A229" s="274"/>
      <c r="E229" s="276"/>
      <c r="F229" s="276"/>
    </row>
    <row r="230" spans="1:6" ht="15.75" customHeight="1">
      <c r="A230" s="274"/>
      <c r="E230" s="276"/>
      <c r="F230" s="276"/>
    </row>
    <row r="231" spans="1:6" ht="15.75" customHeight="1">
      <c r="A231" s="274"/>
      <c r="E231" s="276"/>
      <c r="F231" s="276"/>
    </row>
    <row r="232" spans="1:6" ht="15.75" customHeight="1">
      <c r="A232" s="274"/>
      <c r="E232" s="276"/>
      <c r="F232" s="276"/>
    </row>
    <row r="233" spans="1:6" ht="15.75" customHeight="1">
      <c r="A233" s="274"/>
      <c r="E233" s="276"/>
      <c r="F233" s="276"/>
    </row>
    <row r="234" spans="1:6" ht="15.75" customHeight="1">
      <c r="A234" s="274"/>
      <c r="E234" s="276"/>
      <c r="F234" s="276"/>
    </row>
    <row r="235" spans="1:6" ht="15.75" customHeight="1">
      <c r="A235" s="274"/>
      <c r="E235" s="276"/>
      <c r="F235" s="276"/>
    </row>
    <row r="236" spans="1:6" ht="15.75" customHeight="1">
      <c r="A236" s="274"/>
      <c r="E236" s="276"/>
      <c r="F236" s="276"/>
    </row>
    <row r="237" spans="1:6" ht="15.75" customHeight="1">
      <c r="A237" s="274"/>
      <c r="E237" s="276"/>
      <c r="F237" s="276"/>
    </row>
    <row r="238" spans="1:6" ht="15.75" customHeight="1">
      <c r="A238" s="274"/>
      <c r="E238" s="276"/>
      <c r="F238" s="276"/>
    </row>
    <row r="239" spans="1:6" ht="15.75" customHeight="1">
      <c r="A239" s="274"/>
      <c r="E239" s="276"/>
      <c r="F239" s="276"/>
    </row>
    <row r="240" spans="1:6" ht="15.75" customHeight="1">
      <c r="A240" s="274"/>
      <c r="E240" s="276"/>
      <c r="F240" s="276"/>
    </row>
    <row r="241" spans="1:6" ht="15.75" customHeight="1">
      <c r="A241" s="274"/>
      <c r="E241" s="276"/>
      <c r="F241" s="276"/>
    </row>
    <row r="242" spans="1:6" ht="15.75" customHeight="1">
      <c r="A242" s="274"/>
      <c r="E242" s="276"/>
      <c r="F242" s="276"/>
    </row>
    <row r="243" spans="1:6" ht="15.75" customHeight="1">
      <c r="A243" s="274"/>
      <c r="E243" s="276"/>
      <c r="F243" s="276"/>
    </row>
    <row r="244" spans="1:6" ht="15.75" customHeight="1">
      <c r="A244" s="274"/>
      <c r="E244" s="276"/>
      <c r="F244" s="276"/>
    </row>
    <row r="245" spans="1:6" ht="15.75" customHeight="1">
      <c r="A245" s="274"/>
      <c r="E245" s="276"/>
      <c r="F245" s="276"/>
    </row>
    <row r="246" spans="1:6" ht="15.75" customHeight="1">
      <c r="A246" s="274"/>
      <c r="E246" s="276"/>
      <c r="F246" s="276"/>
    </row>
    <row r="247" spans="1:6" ht="15.75" customHeight="1">
      <c r="A247" s="274"/>
      <c r="E247" s="276"/>
      <c r="F247" s="276"/>
    </row>
    <row r="248" spans="1:6" ht="15.75" customHeight="1">
      <c r="A248" s="274"/>
      <c r="E248" s="276"/>
      <c r="F248" s="276"/>
    </row>
    <row r="249" spans="1:6" ht="15.75" customHeight="1">
      <c r="A249" s="274"/>
      <c r="E249" s="276"/>
      <c r="F249" s="276"/>
    </row>
    <row r="250" spans="1:6" ht="15.75" customHeight="1">
      <c r="A250" s="274"/>
      <c r="E250" s="276"/>
      <c r="F250" s="276"/>
    </row>
    <row r="251" spans="1:6" ht="15.75" customHeight="1">
      <c r="A251" s="274"/>
      <c r="E251" s="276"/>
      <c r="F251" s="276"/>
    </row>
    <row r="252" spans="1:6" ht="15.75" customHeight="1">
      <c r="A252" s="274"/>
      <c r="E252" s="276"/>
      <c r="F252" s="276"/>
    </row>
    <row r="253" spans="1:6" ht="15.75" customHeight="1">
      <c r="A253" s="274"/>
      <c r="E253" s="276"/>
      <c r="F253" s="276"/>
    </row>
    <row r="254" spans="1:6" ht="15.75" customHeight="1">
      <c r="A254" s="274"/>
      <c r="E254" s="276"/>
      <c r="F254" s="276"/>
    </row>
    <row r="255" spans="1:6" ht="15.75" customHeight="1">
      <c r="A255" s="274"/>
      <c r="E255" s="276"/>
      <c r="F255" s="276"/>
    </row>
    <row r="256" spans="1:6" ht="15.75" customHeight="1">
      <c r="A256" s="274"/>
      <c r="E256" s="276"/>
      <c r="F256" s="276"/>
    </row>
    <row r="257" spans="1:6" ht="15.75" customHeight="1">
      <c r="A257" s="274"/>
      <c r="E257" s="276"/>
      <c r="F257" s="276"/>
    </row>
    <row r="258" spans="1:6" ht="15.75" customHeight="1">
      <c r="A258" s="274"/>
      <c r="E258" s="276"/>
      <c r="F258" s="276"/>
    </row>
    <row r="259" spans="1:6" ht="15.75" customHeight="1">
      <c r="A259" s="274"/>
      <c r="E259" s="276"/>
      <c r="F259" s="276"/>
    </row>
    <row r="260" spans="1:6" ht="15.75" customHeight="1">
      <c r="A260" s="274"/>
      <c r="E260" s="276"/>
      <c r="F260" s="276"/>
    </row>
    <row r="261" spans="1:6" ht="15.75" customHeight="1">
      <c r="A261" s="274"/>
      <c r="E261" s="276"/>
      <c r="F261" s="276"/>
    </row>
    <row r="262" spans="1:6" ht="15.75" customHeight="1">
      <c r="A262" s="274"/>
      <c r="E262" s="276"/>
      <c r="F262" s="276"/>
    </row>
    <row r="263" spans="1:6" ht="15.75" customHeight="1">
      <c r="A263" s="274"/>
      <c r="E263" s="276"/>
      <c r="F263" s="276"/>
    </row>
    <row r="264" spans="1:6" ht="15.75" customHeight="1">
      <c r="A264" s="274"/>
      <c r="E264" s="276"/>
      <c r="F264" s="276"/>
    </row>
    <row r="265" spans="1:6" ht="15.75" customHeight="1">
      <c r="A265" s="274"/>
      <c r="E265" s="276"/>
      <c r="F265" s="276"/>
    </row>
    <row r="266" spans="1:6" ht="15.75" customHeight="1">
      <c r="A266" s="274"/>
      <c r="E266" s="276"/>
      <c r="F266" s="276"/>
    </row>
    <row r="267" spans="1:6" ht="15.75" customHeight="1">
      <c r="A267" s="274"/>
      <c r="E267" s="276"/>
      <c r="F267" s="276"/>
    </row>
    <row r="268" spans="1:6" ht="15.75" customHeight="1">
      <c r="A268" s="274"/>
      <c r="E268" s="276"/>
      <c r="F268" s="276"/>
    </row>
    <row r="269" spans="1:6" ht="15.75" customHeight="1">
      <c r="A269" s="274"/>
      <c r="E269" s="276"/>
      <c r="F269" s="276"/>
    </row>
    <row r="270" spans="1:6" ht="15.75" customHeight="1">
      <c r="A270" s="274"/>
      <c r="E270" s="276"/>
      <c r="F270" s="276"/>
    </row>
    <row r="271" spans="1:6" ht="15.75" customHeight="1">
      <c r="A271" s="274"/>
      <c r="E271" s="276"/>
      <c r="F271" s="276"/>
    </row>
    <row r="272" spans="1:6" ht="15.75" customHeight="1">
      <c r="A272" s="274"/>
      <c r="E272" s="276"/>
      <c r="F272" s="276"/>
    </row>
    <row r="273" spans="1:6" ht="15.75" customHeight="1">
      <c r="A273" s="274"/>
      <c r="E273" s="276"/>
      <c r="F273" s="276"/>
    </row>
    <row r="274" spans="1:6" ht="15.75" customHeight="1">
      <c r="A274" s="274"/>
      <c r="E274" s="276"/>
      <c r="F274" s="276"/>
    </row>
    <row r="275" spans="1:6" ht="15.75" customHeight="1">
      <c r="A275" s="274"/>
      <c r="E275" s="276"/>
      <c r="F275" s="276"/>
    </row>
    <row r="276" spans="1:6" ht="15.75" customHeight="1">
      <c r="A276" s="274"/>
      <c r="E276" s="276"/>
      <c r="F276" s="276"/>
    </row>
    <row r="277" spans="1:6" ht="15.75" customHeight="1">
      <c r="A277" s="274"/>
      <c r="E277" s="276"/>
      <c r="F277" s="276"/>
    </row>
    <row r="278" spans="1:6" ht="15.75" customHeight="1">
      <c r="A278" s="274"/>
      <c r="E278" s="276"/>
      <c r="F278" s="276"/>
    </row>
    <row r="279" spans="1:6" ht="15.75" customHeight="1">
      <c r="A279" s="274"/>
      <c r="E279" s="276"/>
      <c r="F279" s="276"/>
    </row>
    <row r="280" spans="1:6" ht="15.75" customHeight="1">
      <c r="A280" s="274"/>
      <c r="E280" s="276"/>
      <c r="F280" s="276"/>
    </row>
    <row r="281" spans="1:6" ht="15.75" customHeight="1">
      <c r="A281" s="274"/>
      <c r="E281" s="276"/>
      <c r="F281" s="276"/>
    </row>
    <row r="282" spans="1:6" ht="15.75" customHeight="1">
      <c r="A282" s="274"/>
      <c r="E282" s="276"/>
      <c r="F282" s="276"/>
    </row>
    <row r="283" spans="1:6" ht="15.75" customHeight="1">
      <c r="A283" s="274"/>
      <c r="E283" s="276"/>
      <c r="F283" s="276"/>
    </row>
    <row r="284" spans="1:6" ht="15.75" customHeight="1">
      <c r="A284" s="274"/>
      <c r="E284" s="276"/>
      <c r="F284" s="276"/>
    </row>
    <row r="285" spans="1:6" ht="15.75" customHeight="1">
      <c r="A285" s="274"/>
      <c r="E285" s="276"/>
      <c r="F285" s="276"/>
    </row>
    <row r="286" spans="1:6" ht="15.75" customHeight="1">
      <c r="A286" s="274"/>
      <c r="E286" s="276"/>
      <c r="F286" s="276"/>
    </row>
    <row r="287" spans="1:6" ht="15.75" customHeight="1">
      <c r="A287" s="274"/>
      <c r="E287" s="276"/>
      <c r="F287" s="276"/>
    </row>
    <row r="288" spans="1:6" ht="15.75" customHeight="1">
      <c r="A288" s="274"/>
      <c r="E288" s="276"/>
      <c r="F288" s="276"/>
    </row>
    <row r="289" spans="1:6" ht="15.75" customHeight="1">
      <c r="A289" s="274"/>
      <c r="E289" s="276"/>
      <c r="F289" s="276"/>
    </row>
    <row r="290" spans="1:6" ht="15.75" customHeight="1">
      <c r="A290" s="274"/>
      <c r="E290" s="276"/>
      <c r="F290" s="276"/>
    </row>
    <row r="291" spans="1:6" ht="15.75" customHeight="1">
      <c r="A291" s="274"/>
      <c r="E291" s="276"/>
      <c r="F291" s="276"/>
    </row>
    <row r="292" spans="1:6" ht="15.75" customHeight="1">
      <c r="A292" s="274"/>
      <c r="E292" s="276"/>
      <c r="F292" s="276"/>
    </row>
    <row r="293" spans="1:6" ht="15.75" customHeight="1">
      <c r="A293" s="274"/>
      <c r="E293" s="276"/>
      <c r="F293" s="276"/>
    </row>
    <row r="294" spans="1:6" ht="15.75" customHeight="1">
      <c r="A294" s="274"/>
      <c r="E294" s="276"/>
      <c r="F294" s="276"/>
    </row>
    <row r="295" spans="1:6" ht="15.75" customHeight="1">
      <c r="A295" s="274"/>
      <c r="E295" s="276"/>
      <c r="F295" s="276"/>
    </row>
    <row r="296" spans="1:6" ht="15.75" customHeight="1">
      <c r="A296" s="274"/>
      <c r="E296" s="276"/>
      <c r="F296" s="276"/>
    </row>
    <row r="297" spans="1:6" ht="15.75" customHeight="1">
      <c r="A297" s="274"/>
      <c r="E297" s="276"/>
      <c r="F297" s="276"/>
    </row>
    <row r="298" spans="1:6" ht="15.75" customHeight="1">
      <c r="A298" s="274"/>
      <c r="E298" s="276"/>
      <c r="F298" s="276"/>
    </row>
    <row r="299" spans="1:6" ht="15.75" customHeight="1">
      <c r="A299" s="274"/>
      <c r="E299" s="276"/>
      <c r="F299" s="276"/>
    </row>
    <row r="300" spans="1:6" ht="15.75" customHeight="1">
      <c r="A300" s="274"/>
      <c r="E300" s="276"/>
      <c r="F300" s="276"/>
    </row>
    <row r="301" spans="1:6" ht="15.75" customHeight="1">
      <c r="A301" s="274"/>
      <c r="E301" s="276"/>
      <c r="F301" s="276"/>
    </row>
    <row r="302" spans="1:6" ht="15.75" customHeight="1"/>
    <row r="303" spans="1:6" ht="15.75" customHeight="1"/>
    <row r="304" spans="1: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hyperlinks>
    <hyperlink ref="N72" r:id="rId1" xr:uid="{6390FF20-4587-427B-A36E-58CE403A16D5}"/>
    <hyperlink ref="N76" r:id="rId2" xr:uid="{05F5FCD8-38FF-45FD-A594-1044C52FC364}"/>
    <hyperlink ref="N80" r:id="rId3" location="revenue" xr:uid="{0A31AB0E-1918-4CCA-AD0D-2FA0B22536D9}"/>
    <hyperlink ref="N85" r:id="rId4" xr:uid="{27DA018B-457D-4B05-B2FD-B563F967EE67}"/>
  </hyperlinks>
  <pageMargins left="0.7" right="0.7" top="0.75" bottom="0.75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7E48-A3BD-456F-A6A2-38C126721487}">
  <sheetPr>
    <tabColor rgb="FFC00000"/>
  </sheetPr>
  <dimension ref="A1:E4"/>
  <sheetViews>
    <sheetView zoomScale="70" zoomScaleNormal="70" workbookViewId="0">
      <selection activeCell="F4" sqref="F4"/>
    </sheetView>
  </sheetViews>
  <sheetFormatPr defaultRowHeight="14.45"/>
  <cols>
    <col min="1" max="1" width="11.7109375" customWidth="1"/>
    <col min="2" max="2" width="61.42578125" customWidth="1"/>
    <col min="3" max="4" width="85.5703125" customWidth="1"/>
  </cols>
  <sheetData>
    <row r="1" spans="1:5">
      <c r="B1" t="s">
        <v>397</v>
      </c>
      <c r="C1" t="s">
        <v>398</v>
      </c>
      <c r="D1" t="s">
        <v>399</v>
      </c>
      <c r="E1" t="s">
        <v>400</v>
      </c>
    </row>
    <row r="2" spans="1:5" ht="229.9" customHeight="1">
      <c r="A2" s="19" t="s">
        <v>401</v>
      </c>
      <c r="B2" s="18" t="s">
        <v>402</v>
      </c>
      <c r="C2" t="s">
        <v>108</v>
      </c>
    </row>
    <row r="3" spans="1:5" ht="289.89999999999998" customHeight="1">
      <c r="A3" s="19" t="s">
        <v>403</v>
      </c>
      <c r="C3" t="s">
        <v>404</v>
      </c>
      <c r="E3" t="s">
        <v>405</v>
      </c>
    </row>
    <row r="4" spans="1:5" ht="192.6" customHeight="1">
      <c r="A4" s="19" t="s">
        <v>406</v>
      </c>
      <c r="C4" s="19" t="s">
        <v>407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B56714D579F478C19C5F19612549C" ma:contentTypeVersion="22" ma:contentTypeDescription="Create a new document." ma:contentTypeScope="" ma:versionID="1afd1cd2f713b231e3ebb85a604b67c4">
  <xsd:schema xmlns:xsd="http://www.w3.org/2001/XMLSchema" xmlns:xs="http://www.w3.org/2001/XMLSchema" xmlns:p="http://schemas.microsoft.com/office/2006/metadata/properties" xmlns:ns2="92b0d9ab-8f7a-473a-8291-8838e1c085e9" xmlns:ns3="d9ece9de-2e42-4e84-b2e6-f70b1482ff80" targetNamespace="http://schemas.microsoft.com/office/2006/metadata/properties" ma:root="true" ma:fieldsID="9803ce92f1169ed35f3c946428fab6c1" ns2:_="" ns3:_="">
    <xsd:import namespace="92b0d9ab-8f7a-473a-8291-8838e1c085e9"/>
    <xsd:import namespace="d9ece9de-2e42-4e84-b2e6-f70b1482f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0d9ab-8f7a-473a-8291-8838e1c08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5afc53d-a465-4c37-9d87-7482417fd6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ce9de-2e42-4e84-b2e6-f70b1482f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54a85d1-65e9-4cd2-8582-19aaa32d319c}" ma:internalName="TaxCatchAll" ma:showField="CatchAllData" ma:web="d9ece9de-2e42-4e84-b2e6-f70b1482ff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ece9de-2e42-4e84-b2e6-f70b1482ff80" xsi:nil="true"/>
    <lcf76f155ced4ddcb4097134ff3c332f xmlns="92b0d9ab-8f7a-473a-8291-8838e1c08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7723E2-8213-40CB-A2D3-DE6DCD151FBA}"/>
</file>

<file path=customXml/itemProps2.xml><?xml version="1.0" encoding="utf-8"?>
<ds:datastoreItem xmlns:ds="http://schemas.openxmlformats.org/officeDocument/2006/customXml" ds:itemID="{B9C899A5-ACF5-46D2-81BC-A17B4678DB25}"/>
</file>

<file path=customXml/itemProps3.xml><?xml version="1.0" encoding="utf-8"?>
<ds:datastoreItem xmlns:ds="http://schemas.openxmlformats.org/officeDocument/2006/customXml" ds:itemID="{99CCF38F-6C31-4CBF-8DD8-AC890226B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Sui Pan LEUNG</dc:creator>
  <cp:keywords/>
  <dc:description/>
  <cp:lastModifiedBy>Michaela Muyao WANG</cp:lastModifiedBy>
  <cp:revision/>
  <dcterms:created xsi:type="dcterms:W3CDTF">2017-10-10T01:58:38Z</dcterms:created>
  <dcterms:modified xsi:type="dcterms:W3CDTF">2025-11-20T05:30:52Z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0x010100CEDB56714D579F478C19C5F19612549C</vt:lpwstr>
  </property>
  <property fmtid="{D5CDD505-2E9C-101B-9397-08002B2CF9AE}" pid="3" name="MediaServiceImageTags">
    <vt:lpwstr/>
  </property>
</Properties>
</file>