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7.xml" ContentType="application/vnd.openxmlformats-officedocument.spreadsheetml.table+xml"/>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2.xml" ContentType="application/vnd.openxmlformats-officedocument.drawing+xml"/>
  <Override PartName="/xl/activeX/activeX51.xml" ContentType="application/vnd.ms-office.activeX+xml"/>
  <Override PartName="/xl/activeX/activeX51.bin" ContentType="application/vnd.ms-office.activeX"/>
  <Override PartName="/xl/drawings/drawing13.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45" firstSheet="10"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ジム" sheetId="4" state="hidden" r:id="rId8"/>
    <sheet name="対戦" sheetId="17" state="hidden" r:id="rId9"/>
    <sheet name="期待個体" sheetId="18" state="hidden" r:id="rId10"/>
    <sheet name="相関" sheetId="10" r:id="rId11"/>
    <sheet name="CPM" sheetId="11" r:id="rId12"/>
    <sheet name="最大値" sheetId="12" r:id="rId13"/>
    <sheet name="タイプ別" sheetId="13" r:id="rId14"/>
    <sheet name="管理" sheetId="16" state="hidden" r:id="rId15"/>
    <sheet name="取説" sheetId="14" r:id="rId16"/>
    <sheet name="利用許諾契約" sheetId="15" r:id="rId17"/>
    <sheet name="Ver" sheetId="19" state="hidden" r:id="rId18"/>
  </sheets>
  <functionGroups builtInGroupCount="18"/>
  <definedNames>
    <definedName name="_xlnm._FilterDatabase" localSheetId="4" hidden="1">ゲージわざ!$B$2:$G$145</definedName>
    <definedName name="_xlnm._FilterDatabase" localSheetId="0" hidden="1">種族!$C$1:$M$620</definedName>
    <definedName name="ゲージわざ種族選択">ゲージわざ!$U$2</definedName>
    <definedName name="ジムバトル設定">ジム!$BD$1:$BI$2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ダミーの敵のパラメータ">最大値!$B$24:$Q$25</definedName>
    <definedName name="トレーナーバトル係数">相関!$V$25</definedName>
    <definedName name="わざの能力変化">CPM!$H$2:$J$6</definedName>
    <definedName name="空白">相関!$V$34</definedName>
    <definedName name="計数下限順位">期待個体!$AJ$1:$AM$2</definedName>
    <definedName name="個体マップタイプ選択">個体マップ!$A$2:$B$2</definedName>
    <definedName name="個体マップ元表">個体マップ!$AB$2:$AF$940</definedName>
    <definedName name="個体マップ個体選択">個体マップ!$D$2</definedName>
    <definedName name="個体マップ設定">個体マップ!$O$1:$S$2</definedName>
    <definedName name="種族マップタイプ選択">種族マップ!$B$1:$C$1</definedName>
    <definedName name="種族マップ種族選択">種族マップ!$E$1</definedName>
    <definedName name="種族マップ設定">種族マップ!$AA$1:$AC$2</definedName>
    <definedName name="全体設定">Ver!$G$2:$H$4</definedName>
    <definedName name="相性表">相関!$C$3:$T$20</definedName>
    <definedName name="対戦バトル設定">対戦!$BD$1:$BI$2</definedName>
    <definedName name="通常わざ種族選択">通常わざ!$U$2</definedName>
    <definedName name="天候ブースト">相関!$U$3:$U$20</definedName>
    <definedName name="天候ブースト係数">相関!$V$23</definedName>
    <definedName name="天候表">相関!$B$25:$C$31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11" i="9" l="1"/>
  <c r="O111" i="9"/>
  <c r="P111" i="9"/>
  <c r="Q111" i="9"/>
  <c r="R111" i="9"/>
  <c r="N35" i="9"/>
  <c r="O35" i="9"/>
  <c r="P35" i="9"/>
  <c r="Q35" i="9"/>
  <c r="R35" i="9"/>
  <c r="BG3" i="2" l="1"/>
  <c r="BI3" i="2"/>
  <c r="BL3" i="2"/>
  <c r="BN3" i="2"/>
  <c r="BR3" i="2"/>
  <c r="BV3" i="2"/>
  <c r="BX3" i="2"/>
  <c r="CA3" i="2"/>
  <c r="CE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O3" i="2"/>
  <c r="P3" i="2" l="1"/>
  <c r="R3" i="2"/>
  <c r="AN3" i="2"/>
  <c r="AP3" i="2" s="1"/>
  <c r="Q3" i="2"/>
  <c r="AW3" i="2"/>
  <c r="AX3" i="2" s="1"/>
  <c r="T3" i="2" l="1"/>
  <c r="S3" i="2"/>
  <c r="U3" i="2"/>
  <c r="AU3" i="2"/>
  <c r="AV3" i="2" s="1"/>
  <c r="AO3" i="2"/>
  <c r="AY3" i="2"/>
  <c r="AS3" i="2" s="1"/>
  <c r="AQ3" i="2"/>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2" i="11"/>
  <c r="AR3" i="2" l="1"/>
  <c r="AT3" i="2"/>
  <c r="AZ3" i="2"/>
  <c r="BA3" i="2" s="1"/>
  <c r="G19" i="12"/>
  <c r="G20" i="12"/>
  <c r="N136" i="9" l="1"/>
  <c r="N142" i="9"/>
  <c r="N143" i="9"/>
  <c r="N141" i="9"/>
  <c r="N144" i="9"/>
  <c r="O136" i="9"/>
  <c r="O142" i="9"/>
  <c r="O143" i="9"/>
  <c r="O141" i="9"/>
  <c r="O144" i="9"/>
  <c r="P136" i="9"/>
  <c r="P142" i="9"/>
  <c r="P143" i="9"/>
  <c r="P141" i="9"/>
  <c r="P144" i="9"/>
  <c r="Q136" i="9"/>
  <c r="Q142" i="9"/>
  <c r="Q143" i="9"/>
  <c r="Q141" i="9"/>
  <c r="Q144" i="9"/>
  <c r="R136" i="9"/>
  <c r="R142" i="9"/>
  <c r="R143" i="9"/>
  <c r="R141" i="9"/>
  <c r="R144" i="9"/>
  <c r="N3" i="9" l="1"/>
  <c r="O3" i="9"/>
  <c r="P3" i="9"/>
  <c r="Q3" i="9"/>
  <c r="R3" i="9"/>
  <c r="N7"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N33" i="9"/>
  <c r="O33" i="9"/>
  <c r="P33" i="9"/>
  <c r="Q33" i="9"/>
  <c r="R33" i="9"/>
  <c r="N36" i="9"/>
  <c r="O36" i="9"/>
  <c r="P36" i="9"/>
  <c r="Q36" i="9"/>
  <c r="R36" i="9"/>
  <c r="N37" i="9"/>
  <c r="O37" i="9"/>
  <c r="P37" i="9"/>
  <c r="Q37" i="9"/>
  <c r="R37" i="9"/>
  <c r="N43" i="9"/>
  <c r="O43" i="9"/>
  <c r="P43" i="9"/>
  <c r="Q43" i="9"/>
  <c r="R43" i="9"/>
  <c r="N44" i="9"/>
  <c r="O44" i="9"/>
  <c r="P44" i="9"/>
  <c r="Q44" i="9"/>
  <c r="R44" i="9"/>
  <c r="N45" i="9"/>
  <c r="O45" i="9"/>
  <c r="P45" i="9"/>
  <c r="Q45" i="9"/>
  <c r="R45" i="9"/>
  <c r="N48" i="9"/>
  <c r="O48" i="9"/>
  <c r="P48" i="9"/>
  <c r="Q48" i="9"/>
  <c r="R48" i="9"/>
  <c r="N54" i="9"/>
  <c r="O54" i="9"/>
  <c r="P54" i="9"/>
  <c r="Q54" i="9"/>
  <c r="R54" i="9"/>
  <c r="N56" i="9"/>
  <c r="O56" i="9"/>
  <c r="P56" i="9"/>
  <c r="Q56" i="9"/>
  <c r="R56" i="9"/>
  <c r="N58" i="9"/>
  <c r="O58" i="9"/>
  <c r="P58" i="9"/>
  <c r="Q58" i="9"/>
  <c r="R58" i="9"/>
  <c r="N59" i="9"/>
  <c r="O59" i="9"/>
  <c r="P59" i="9"/>
  <c r="Q59" i="9"/>
  <c r="R59" i="9"/>
  <c r="N63" i="9"/>
  <c r="O63" i="9"/>
  <c r="P63" i="9"/>
  <c r="Q63" i="9"/>
  <c r="R63" i="9"/>
  <c r="N66" i="9"/>
  <c r="O66" i="9"/>
  <c r="P66" i="9"/>
  <c r="Q66" i="9"/>
  <c r="R66" i="9"/>
  <c r="N73" i="9"/>
  <c r="O73" i="9"/>
  <c r="P73" i="9"/>
  <c r="Q73" i="9"/>
  <c r="R73" i="9"/>
  <c r="N69" i="9"/>
  <c r="O69" i="9"/>
  <c r="P69" i="9"/>
  <c r="Q69" i="9"/>
  <c r="R69" i="9"/>
  <c r="N70" i="9"/>
  <c r="O70" i="9"/>
  <c r="P70" i="9"/>
  <c r="Q70" i="9"/>
  <c r="R70" i="9"/>
  <c r="N71" i="9"/>
  <c r="O71" i="9"/>
  <c r="P71" i="9"/>
  <c r="Q71" i="9"/>
  <c r="R71" i="9"/>
  <c r="N76" i="9"/>
  <c r="O76" i="9"/>
  <c r="P76" i="9"/>
  <c r="Q76" i="9"/>
  <c r="R76" i="9"/>
  <c r="N77" i="9"/>
  <c r="O77" i="9"/>
  <c r="P77" i="9"/>
  <c r="Q77" i="9"/>
  <c r="R77" i="9"/>
  <c r="N78" i="9"/>
  <c r="O78" i="9"/>
  <c r="P78" i="9"/>
  <c r="Q78" i="9"/>
  <c r="R78" i="9"/>
  <c r="N79" i="9"/>
  <c r="O79" i="9"/>
  <c r="P79" i="9"/>
  <c r="Q79" i="9"/>
  <c r="R79" i="9"/>
  <c r="N81" i="9"/>
  <c r="O81" i="9"/>
  <c r="P81" i="9"/>
  <c r="Q81" i="9"/>
  <c r="R81" i="9"/>
  <c r="N82" i="9"/>
  <c r="O82" i="9"/>
  <c r="P82" i="9"/>
  <c r="Q82" i="9"/>
  <c r="R82" i="9"/>
  <c r="N80" i="9"/>
  <c r="O80" i="9"/>
  <c r="P80" i="9"/>
  <c r="Q80" i="9"/>
  <c r="R80" i="9"/>
  <c r="N87" i="9"/>
  <c r="O87" i="9"/>
  <c r="P87" i="9"/>
  <c r="Q87" i="9"/>
  <c r="R87" i="9"/>
  <c r="N89" i="9"/>
  <c r="O89" i="9"/>
  <c r="P89" i="9"/>
  <c r="Q89" i="9"/>
  <c r="R89" i="9"/>
  <c r="N91" i="9"/>
  <c r="O91" i="9"/>
  <c r="P91" i="9"/>
  <c r="Q91" i="9"/>
  <c r="R91" i="9"/>
  <c r="N92" i="9"/>
  <c r="O92" i="9"/>
  <c r="P92" i="9"/>
  <c r="Q92" i="9"/>
  <c r="R92" i="9"/>
  <c r="N93" i="9"/>
  <c r="O93" i="9"/>
  <c r="P93" i="9"/>
  <c r="Q93" i="9"/>
  <c r="R93" i="9"/>
  <c r="N97" i="9"/>
  <c r="O97" i="9"/>
  <c r="P97" i="9"/>
  <c r="Q97" i="9"/>
  <c r="R97" i="9"/>
  <c r="N100" i="9"/>
  <c r="O100" i="9"/>
  <c r="P100" i="9"/>
  <c r="Q100" i="9"/>
  <c r="R100" i="9"/>
  <c r="N90" i="9"/>
  <c r="O90" i="9"/>
  <c r="P90" i="9"/>
  <c r="Q90" i="9"/>
  <c r="R90" i="9"/>
  <c r="N102" i="9"/>
  <c r="O102" i="9"/>
  <c r="P102" i="9"/>
  <c r="Q102" i="9"/>
  <c r="R102" i="9"/>
  <c r="N103" i="9"/>
  <c r="O103" i="9"/>
  <c r="P103" i="9"/>
  <c r="Q103" i="9"/>
  <c r="R103" i="9"/>
  <c r="N105" i="9"/>
  <c r="O105" i="9"/>
  <c r="P105" i="9"/>
  <c r="Q105" i="9"/>
  <c r="R105" i="9"/>
  <c r="N98" i="9"/>
  <c r="O98" i="9"/>
  <c r="P98" i="9"/>
  <c r="Q98" i="9"/>
  <c r="R98" i="9"/>
  <c r="N99" i="9"/>
  <c r="O99" i="9"/>
  <c r="P99" i="9"/>
  <c r="Q99" i="9"/>
  <c r="R99" i="9"/>
  <c r="N108" i="9"/>
  <c r="O108" i="9"/>
  <c r="P108" i="9"/>
  <c r="Q108" i="9"/>
  <c r="R108" i="9"/>
  <c r="N109" i="9"/>
  <c r="O109" i="9"/>
  <c r="P109" i="9"/>
  <c r="Q109" i="9"/>
  <c r="R109" i="9"/>
  <c r="N110" i="9"/>
  <c r="O110" i="9"/>
  <c r="P110" i="9"/>
  <c r="Q110" i="9"/>
  <c r="R110" i="9"/>
  <c r="N119" i="9"/>
  <c r="O119" i="9"/>
  <c r="P119" i="9"/>
  <c r="Q119" i="9"/>
  <c r="R119" i="9"/>
  <c r="N122" i="9"/>
  <c r="O122" i="9"/>
  <c r="P122" i="9"/>
  <c r="Q122" i="9"/>
  <c r="R122" i="9"/>
  <c r="N120" i="9"/>
  <c r="O120" i="9"/>
  <c r="P120" i="9"/>
  <c r="Q120" i="9"/>
  <c r="R120" i="9"/>
  <c r="N123" i="9"/>
  <c r="O123" i="9"/>
  <c r="P123" i="9"/>
  <c r="Q123" i="9"/>
  <c r="R123" i="9"/>
  <c r="N126" i="9"/>
  <c r="O126" i="9"/>
  <c r="P126" i="9"/>
  <c r="Q126" i="9"/>
  <c r="R126" i="9"/>
  <c r="N129" i="9"/>
  <c r="O129" i="9"/>
  <c r="P129" i="9"/>
  <c r="Q129" i="9"/>
  <c r="R129" i="9"/>
  <c r="N131" i="9"/>
  <c r="O131" i="9"/>
  <c r="P131" i="9"/>
  <c r="Q131" i="9"/>
  <c r="R131" i="9"/>
  <c r="N117" i="9"/>
  <c r="O117" i="9"/>
  <c r="P117" i="9"/>
  <c r="Q117" i="9"/>
  <c r="R117" i="9"/>
  <c r="N134" i="9"/>
  <c r="O134" i="9"/>
  <c r="P134" i="9"/>
  <c r="Q134" i="9"/>
  <c r="R134" i="9"/>
  <c r="N137" i="9"/>
  <c r="O137" i="9"/>
  <c r="P137" i="9"/>
  <c r="Q137" i="9"/>
  <c r="R137" i="9"/>
  <c r="N138" i="9"/>
  <c r="O138" i="9"/>
  <c r="P138" i="9"/>
  <c r="Q138" i="9"/>
  <c r="R138" i="9"/>
  <c r="N139" i="9"/>
  <c r="O139" i="9"/>
  <c r="P139" i="9"/>
  <c r="Q139" i="9"/>
  <c r="R139" i="9"/>
  <c r="N140" i="9"/>
  <c r="O140" i="9"/>
  <c r="P140" i="9"/>
  <c r="Q140" i="9"/>
  <c r="R140" i="9"/>
  <c r="N145" i="9"/>
  <c r="O145" i="9"/>
  <c r="P145" i="9"/>
  <c r="Q145" i="9"/>
  <c r="R145"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4" i="9"/>
  <c r="O34" i="9"/>
  <c r="P34" i="9"/>
  <c r="Q34" i="9"/>
  <c r="R34" i="9"/>
  <c r="N39" i="9"/>
  <c r="O39" i="9"/>
  <c r="P39" i="9"/>
  <c r="Q39" i="9"/>
  <c r="R39" i="9"/>
  <c r="N41" i="9"/>
  <c r="O41" i="9"/>
  <c r="P41" i="9"/>
  <c r="Q41" i="9"/>
  <c r="R41" i="9"/>
  <c r="N42" i="9"/>
  <c r="O42" i="9"/>
  <c r="P42" i="9"/>
  <c r="Q42" i="9"/>
  <c r="R42" i="9"/>
  <c r="N38" i="9"/>
  <c r="O38" i="9"/>
  <c r="P38" i="9"/>
  <c r="Q38" i="9"/>
  <c r="R38" i="9"/>
  <c r="N40" i="9"/>
  <c r="O40" i="9"/>
  <c r="P40" i="9"/>
  <c r="Q40" i="9"/>
  <c r="R40" i="9"/>
  <c r="N47" i="9"/>
  <c r="O47" i="9"/>
  <c r="P47" i="9"/>
  <c r="Q47" i="9"/>
  <c r="R47" i="9"/>
  <c r="N46" i="9"/>
  <c r="O46" i="9"/>
  <c r="P46" i="9"/>
  <c r="Q46" i="9"/>
  <c r="R46" i="9"/>
  <c r="N49" i="9"/>
  <c r="O49" i="9"/>
  <c r="P49" i="9"/>
  <c r="Q49" i="9"/>
  <c r="R49" i="9"/>
  <c r="N50" i="9"/>
  <c r="O50" i="9"/>
  <c r="P50" i="9"/>
  <c r="Q50" i="9"/>
  <c r="R50" i="9"/>
  <c r="N51" i="9"/>
  <c r="O51" i="9"/>
  <c r="P51" i="9"/>
  <c r="Q51" i="9"/>
  <c r="R51" i="9"/>
  <c r="N53" i="9"/>
  <c r="O53" i="9"/>
  <c r="P53" i="9"/>
  <c r="Q53" i="9"/>
  <c r="R53" i="9"/>
  <c r="N52" i="9"/>
  <c r="O52" i="9"/>
  <c r="P52" i="9"/>
  <c r="Q52" i="9"/>
  <c r="R52" i="9"/>
  <c r="N55" i="9"/>
  <c r="O55" i="9"/>
  <c r="P55" i="9"/>
  <c r="Q55" i="9"/>
  <c r="R55" i="9"/>
  <c r="N57" i="9"/>
  <c r="O57" i="9"/>
  <c r="P57" i="9"/>
  <c r="Q57" i="9"/>
  <c r="R57" i="9"/>
  <c r="N61" i="9"/>
  <c r="O61" i="9"/>
  <c r="P61" i="9"/>
  <c r="Q61" i="9"/>
  <c r="R61" i="9"/>
  <c r="N62" i="9"/>
  <c r="O62" i="9"/>
  <c r="P62" i="9"/>
  <c r="Q62" i="9"/>
  <c r="R62" i="9"/>
  <c r="N64" i="9"/>
  <c r="O64" i="9"/>
  <c r="P64" i="9"/>
  <c r="Q64" i="9"/>
  <c r="R64" i="9"/>
  <c r="N60" i="9"/>
  <c r="O60" i="9"/>
  <c r="P60" i="9"/>
  <c r="Q60" i="9"/>
  <c r="R60" i="9"/>
  <c r="N65" i="9"/>
  <c r="O65" i="9"/>
  <c r="P65" i="9"/>
  <c r="Q65" i="9"/>
  <c r="R65" i="9"/>
  <c r="N67" i="9"/>
  <c r="O67" i="9"/>
  <c r="P67" i="9"/>
  <c r="Q67" i="9"/>
  <c r="R67" i="9"/>
  <c r="N68" i="9"/>
  <c r="O68" i="9"/>
  <c r="P68" i="9"/>
  <c r="Q68" i="9"/>
  <c r="R68" i="9"/>
  <c r="N133" i="9"/>
  <c r="O133" i="9"/>
  <c r="P133" i="9"/>
  <c r="Q133" i="9"/>
  <c r="R133" i="9"/>
  <c r="N72" i="9"/>
  <c r="O72" i="9"/>
  <c r="P72" i="9"/>
  <c r="Q72" i="9"/>
  <c r="R72" i="9"/>
  <c r="N75" i="9"/>
  <c r="O75" i="9"/>
  <c r="P75" i="9"/>
  <c r="Q75" i="9"/>
  <c r="R75" i="9"/>
  <c r="N83" i="9"/>
  <c r="O83" i="9"/>
  <c r="P83" i="9"/>
  <c r="Q83" i="9"/>
  <c r="R83" i="9"/>
  <c r="N84" i="9"/>
  <c r="O84" i="9"/>
  <c r="P84" i="9"/>
  <c r="Q84" i="9"/>
  <c r="R84" i="9"/>
  <c r="N85" i="9"/>
  <c r="O85" i="9"/>
  <c r="P85" i="9"/>
  <c r="Q85" i="9"/>
  <c r="R85" i="9"/>
  <c r="N86" i="9"/>
  <c r="O86" i="9"/>
  <c r="P86" i="9"/>
  <c r="Q86" i="9"/>
  <c r="R86" i="9"/>
  <c r="N88" i="9"/>
  <c r="O88" i="9"/>
  <c r="P88" i="9"/>
  <c r="Q88" i="9"/>
  <c r="R88" i="9"/>
  <c r="N101" i="9"/>
  <c r="O101" i="9"/>
  <c r="P101" i="9"/>
  <c r="Q101" i="9"/>
  <c r="R101" i="9"/>
  <c r="N95" i="9"/>
  <c r="O95" i="9"/>
  <c r="P95" i="9"/>
  <c r="Q95" i="9"/>
  <c r="R95" i="9"/>
  <c r="N96" i="9"/>
  <c r="O96" i="9"/>
  <c r="P96" i="9"/>
  <c r="Q96" i="9"/>
  <c r="R96" i="9"/>
  <c r="N94" i="9"/>
  <c r="O94" i="9"/>
  <c r="P94" i="9"/>
  <c r="Q94" i="9"/>
  <c r="R94" i="9"/>
  <c r="N104" i="9"/>
  <c r="O104" i="9"/>
  <c r="P104" i="9"/>
  <c r="Q104" i="9"/>
  <c r="R104" i="9"/>
  <c r="N74" i="9"/>
  <c r="O74" i="9"/>
  <c r="P74" i="9"/>
  <c r="Q74" i="9"/>
  <c r="R74" i="9"/>
  <c r="N107" i="9"/>
  <c r="O107" i="9"/>
  <c r="P107" i="9"/>
  <c r="Q107" i="9"/>
  <c r="R107" i="9"/>
  <c r="N112" i="9"/>
  <c r="O112" i="9"/>
  <c r="P112" i="9"/>
  <c r="Q112" i="9"/>
  <c r="R112" i="9"/>
  <c r="N113" i="9"/>
  <c r="O113" i="9"/>
  <c r="P113" i="9"/>
  <c r="Q113" i="9"/>
  <c r="R113" i="9"/>
  <c r="N114" i="9"/>
  <c r="O114" i="9"/>
  <c r="P114" i="9"/>
  <c r="Q114" i="9"/>
  <c r="R114" i="9"/>
  <c r="N116" i="9"/>
  <c r="O116" i="9"/>
  <c r="P116" i="9"/>
  <c r="Q116" i="9"/>
  <c r="R116" i="9"/>
  <c r="N106" i="9"/>
  <c r="O106" i="9"/>
  <c r="P106" i="9"/>
  <c r="Q106" i="9"/>
  <c r="R106" i="9"/>
  <c r="N115" i="9"/>
  <c r="O115" i="9"/>
  <c r="P115" i="9"/>
  <c r="Q115" i="9"/>
  <c r="R115" i="9"/>
  <c r="N118" i="9"/>
  <c r="O118" i="9"/>
  <c r="P118" i="9"/>
  <c r="Q118" i="9"/>
  <c r="R118" i="9"/>
  <c r="N121" i="9"/>
  <c r="O121" i="9"/>
  <c r="P121" i="9"/>
  <c r="Q121" i="9"/>
  <c r="R121" i="9"/>
  <c r="N124" i="9"/>
  <c r="O124" i="9"/>
  <c r="P124" i="9"/>
  <c r="Q124" i="9"/>
  <c r="R124" i="9"/>
  <c r="N125" i="9"/>
  <c r="O125" i="9"/>
  <c r="P125" i="9"/>
  <c r="Q125" i="9"/>
  <c r="R125" i="9"/>
  <c r="N127" i="9"/>
  <c r="O127" i="9"/>
  <c r="P127" i="9"/>
  <c r="Q127" i="9"/>
  <c r="R127" i="9"/>
  <c r="N128" i="9"/>
  <c r="O128" i="9"/>
  <c r="P128" i="9"/>
  <c r="Q128" i="9"/>
  <c r="R128" i="9"/>
  <c r="N130" i="9"/>
  <c r="O130" i="9"/>
  <c r="P130" i="9"/>
  <c r="Q130" i="9"/>
  <c r="R130" i="9"/>
  <c r="N132" i="9"/>
  <c r="O132" i="9"/>
  <c r="P132" i="9"/>
  <c r="Q132" i="9"/>
  <c r="R132" i="9"/>
  <c r="N135" i="9"/>
  <c r="O135" i="9"/>
  <c r="P135" i="9"/>
  <c r="Q135" i="9"/>
  <c r="R135"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I19" i="12" l="1"/>
  <c r="I20" i="12"/>
  <c r="J20" i="12"/>
  <c r="J19" i="12"/>
  <c r="H20" i="12"/>
  <c r="H19" i="12"/>
  <c r="K19" i="12" l="1"/>
  <c r="K20" i="12"/>
  <c r="M19" i="12"/>
  <c r="M20" i="12"/>
  <c r="L20" i="12"/>
  <c r="L19" i="12"/>
</calcChain>
</file>

<file path=xl/sharedStrings.xml><?xml version="1.0" encoding="utf-8"?>
<sst xmlns="http://schemas.openxmlformats.org/spreadsheetml/2006/main" count="27489" uniqueCount="3959">
  <si>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</si>
  <si>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</si>
  <si>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</si>
  <si>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</si>
  <si>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</si>
  <si>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</si>
  <si>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</si>
  <si>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</si>
  <si>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</si>
  <si>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</si>
  <si>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</si>
  <si>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</si>
  <si>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</si>
  <si>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</si>
  <si>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</si>
  <si>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</si>
  <si>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</si>
  <si>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</si>
  <si>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</si>
  <si>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</si>
  <si>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</si>
  <si>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</si>
  <si>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</si>
  <si>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</si>
  <si>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</si>
  <si>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</si>
  <si>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</si>
  <si>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</si>
  <si>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</si>
  <si>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</si>
  <si>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</si>
  <si>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</si>
  <si>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</si>
  <si>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</si>
  <si>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</si>
  <si>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</si>
  <si>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</si>
  <si>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</si>
  <si>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</si>
  <si>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</si>
  <si>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</si>
  <si>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</si>
  <si>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</si>
  <si>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</si>
  <si>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</si>
  <si>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</si>
  <si>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</si>
  <si>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</si>
  <si>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</si>
  <si>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</si>
  <si>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</si>
  <si>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</si>
  <si>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</si>
  <si>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</si>
  <si>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</si>
  <si>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</si>
  <si>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</si>
  <si>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</si>
  <si>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</si>
  <si>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</si>
  <si>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</si>
  <si>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</si>
  <si>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</si>
  <si>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</si>
  <si>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</si>
  <si>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</si>
  <si>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</si>
  <si>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</si>
  <si>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</si>
  <si>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</si>
  <si>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</si>
  <si>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</si>
  <si>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</si>
  <si>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</si>
  <si>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</si>
  <si>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</si>
  <si>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</si>
  <si>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</si>
  <si>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</si>
  <si>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</si>
  <si>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</si>
  <si>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</si>
  <si>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</si>
  <si>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</si>
  <si>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</si>
  <si>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</si>
  <si>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</si>
  <si>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</si>
  <si>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</si>
  <si>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</si>
  <si>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</si>
  <si>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</si>
  <si>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</si>
  <si>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</si>
  <si>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</si>
  <si>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</si>
  <si>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</si>
  <si>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</si>
  <si>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</si>
  <si>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</si>
  <si>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</si>
  <si>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</si>
  <si>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</si>
  <si>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</si>
  <si>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</si>
  <si>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</si>
  <si>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</si>
  <si>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</si>
  <si>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</si>
  <si>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</si>
  <si>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</si>
  <si>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</si>
  <si>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</si>
  <si>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</si>
  <si>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</si>
  <si>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</si>
  <si>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</si>
  <si>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</si>
  <si>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</si>
  <si>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</si>
  <si>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</si>
  <si>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</si>
  <si>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</si>
  <si>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</si>
  <si>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</si>
  <si>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</si>
  <si>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</si>
  <si>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</si>
  <si>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</si>
  <si>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</si>
  <si>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</si>
  <si>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</si>
  <si>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</si>
  <si>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</si>
  <si>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</si>
  <si>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</si>
  <si>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</si>
  <si>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</si>
  <si>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</si>
  <si>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</si>
  <si>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</si>
  <si>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</si>
  <si>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</si>
  <si>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</si>
  <si>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</si>
  <si>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</si>
  <si>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</si>
  <si>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</si>
  <si>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</si>
  <si>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</si>
  <si>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</si>
  <si>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</si>
  <si>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</si>
  <si>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</si>
  <si>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</si>
  <si>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</si>
  <si>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</si>
  <si>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</si>
  <si>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</si>
  <si>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</si>
  <si>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</si>
  <si>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</si>
  <si>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</si>
  <si>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</si>
  <si>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</si>
  <si>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</si>
  <si>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</si>
  <si>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</si>
  <si>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</si>
  <si>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</si>
  <si>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</si>
  <si>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</si>
  <si>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</si>
  <si>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</si>
  <si>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</si>
  <si>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</si>
  <si>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</si>
  <si>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</si>
  <si>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</si>
  <si>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</si>
  <si>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</si>
  <si>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</si>
  <si>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</si>
  <si>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</si>
  <si>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</si>
  <si>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</si>
  <si>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</si>
  <si>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</si>
  <si>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</si>
  <si>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</si>
  <si>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</si>
  <si>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</si>
  <si>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</si>
  <si>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</si>
  <si>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</si>
  <si>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</si>
  <si>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</si>
  <si>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</si>
  <si>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</si>
  <si>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</si>
  <si>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</si>
  <si>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</si>
  <si>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</si>
  <si>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</si>
  <si>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</si>
  <si>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</si>
  <si>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</si>
  <si>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</si>
  <si>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</si>
  <si>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</si>
  <si>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</si>
  <si>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</si>
  <si>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</si>
  <si>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</si>
  <si>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</si>
  <si>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</si>
  <si>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</si>
  <si>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</si>
  <si>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</si>
  <si>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</si>
  <si>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</si>
  <si>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</si>
  <si>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</si>
  <si>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</si>
  <si>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</si>
  <si>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</si>
  <si>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</si>
  <si>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</si>
  <si>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</si>
  <si>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</si>
  <si>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</si>
  <si>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</si>
  <si>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</si>
  <si>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</si>
  <si>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</si>
  <si>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</si>
  <si>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</si>
  <si>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</si>
  <si>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</si>
  <si>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</si>
  <si>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</si>
  <si>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</si>
  <si>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</si>
  <si>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</si>
  <si>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</si>
  <si>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</si>
  <si>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</si>
  <si>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</si>
  <si>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</si>
  <si>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</si>
  <si>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</si>
  <si>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</si>
  <si>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</si>
  <si>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</si>
  <si>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</si>
  <si>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</si>
  <si>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</si>
  <si>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</si>
  <si>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</si>
  <si>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</si>
  <si>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</si>
  <si>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</si>
  <si>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</si>
  <si>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</si>
  <si>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</si>
  <si>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</si>
  <si>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</si>
  <si>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</si>
  <si>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</si>
  <si>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</si>
  <si>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</si>
  <si>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</si>
  <si>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</si>
  <si>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</si>
  <si>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</si>
  <si>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</si>
  <si>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</si>
  <si>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</si>
  <si>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</si>
  <si>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</si>
  <si>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</si>
  <si>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</si>
  <si>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</si>
  <si>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</si>
  <si>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</si>
  <si>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</si>
  <si>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</si>
  <si>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</si>
  <si>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</si>
  <si>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</si>
  <si>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</si>
  <si>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</si>
  <si>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</si>
  <si>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</si>
  <si>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</si>
  <si>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</si>
  <si>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</si>
  <si>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</si>
  <si>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</si>
  <si>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</si>
  <si>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</si>
  <si>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</si>
  <si>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</si>
  <si>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</si>
  <si>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</si>
  <si>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</si>
  <si>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</si>
  <si>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</si>
  <si>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</si>
  <si>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</si>
  <si>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</si>
  <si>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</si>
  <si>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</si>
  <si>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</si>
  <si>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</si>
  <si>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</si>
  <si>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</si>
  <si>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</si>
  <si>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</si>
  <si>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</si>
  <si>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</si>
  <si>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</si>
  <si>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</si>
  <si>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</si>
  <si>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</si>
  <si>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</si>
  <si>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</si>
  <si>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</si>
  <si>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</si>
  <si>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</si>
  <si>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</si>
  <si>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</si>
  <si>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</si>
  <si>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</si>
  <si>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</si>
  <si>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</si>
  <si>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</si>
  <si>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</si>
  <si>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</si>
  <si>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</si>
  <si>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</si>
  <si>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</si>
  <si>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</si>
  <si>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</si>
  <si>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</si>
  <si>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</si>
  <si>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</si>
  <si>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</si>
  <si>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</si>
  <si>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</si>
  <si>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</si>
  <si>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</si>
  <si>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</si>
  <si>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</si>
  <si>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</si>
  <si>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</si>
  <si>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</si>
  <si>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</si>
  <si>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</si>
  <si>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</si>
  <si>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</si>
  <si>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</si>
  <si>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</si>
  <si>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</si>
  <si>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</si>
  <si>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</si>
  <si>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</si>
  <si>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</si>
  <si>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</si>
  <si>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</si>
  <si>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</si>
  <si>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</si>
  <si>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</si>
  <si>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</si>
  <si>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</si>
  <si>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</si>
  <si>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</si>
  <si>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</si>
  <si>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</si>
  <si>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</si>
  <si>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</si>
  <si>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</si>
  <si>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</si>
  <si>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</si>
  <si>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</si>
  <si>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</si>
  <si>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</si>
  <si>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</si>
  <si>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</si>
  <si>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</si>
  <si>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</si>
  <si>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</si>
  <si>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</si>
  <si>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</si>
  <si>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</si>
  <si>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</si>
  <si>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</si>
  <si>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</si>
  <si>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</si>
  <si>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</si>
  <si>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</si>
  <si>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</si>
  <si>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</si>
  <si>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</si>
  <si>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</si>
  <si>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</si>
  <si>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</si>
  <si>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</si>
  <si>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</si>
  <si>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</si>
  <si>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</si>
  <si>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</si>
  <si>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</si>
  <si>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</si>
  <si>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</si>
  <si>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</si>
  <si>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</si>
  <si>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</si>
  <si>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</si>
  <si>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</si>
  <si>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</si>
  <si>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</si>
  <si>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</si>
  <si>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</si>
  <si>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</si>
  <si>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</si>
  <si>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</si>
  <si>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</si>
  <si>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</si>
  <si>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</si>
  <si>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</si>
  <si>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</si>
  <si>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</si>
  <si>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</si>
  <si>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</si>
  <si>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</si>
  <si>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</si>
  <si>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</si>
  <si>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</si>
  <si>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</si>
  <si>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</si>
  <si>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</si>
  <si>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</si>
  <si>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</si>
  <si>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</si>
  <si>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</si>
  <si>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</si>
  <si>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</si>
  <si>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</si>
  <si>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</si>
  <si>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</si>
  <si>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</si>
  <si>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</si>
  <si>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</si>
  <si>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</si>
  <si>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</si>
  <si>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</si>
  <si>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</si>
  <si>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</si>
  <si>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</si>
  <si>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</si>
  <si>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</si>
  <si>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</si>
  <si>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</si>
  <si>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</si>
  <si>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</si>
  <si>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</si>
  <si>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</si>
  <si>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</si>
  <si>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</si>
  <si>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</si>
  <si>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</si>
  <si>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</si>
  <si>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</si>
  <si>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</si>
  <si>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</si>
  <si>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</si>
  <si>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</si>
  <si>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</si>
  <si>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</si>
  <si>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</si>
  <si>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</si>
  <si>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</si>
  <si>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</si>
  <si>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</si>
  <si>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</si>
  <si>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</si>
  <si>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</si>
  <si>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</si>
  <si>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</si>
  <si>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</si>
  <si>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</si>
  <si>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</si>
  <si>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</si>
  <si>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</si>
  <si>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</si>
  <si>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</si>
  <si>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</si>
  <si>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</si>
  <si>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</si>
  <si>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</si>
  <si>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</si>
  <si>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</si>
  <si>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</si>
  <si>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</si>
  <si>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</si>
  <si>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</si>
  <si>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</si>
  <si>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</si>
  <si>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</si>
  <si>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</si>
  <si>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</si>
  <si>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</si>
  <si>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</si>
  <si>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</si>
  <si>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</si>
  <si>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</si>
  <si>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</si>
  <si>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</si>
  <si>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</si>
  <si>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</si>
  <si>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</si>
  <si>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</si>
  <si>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</si>
  <si>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</si>
  <si>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</si>
  <si>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</si>
  <si>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</si>
  <si>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</si>
  <si>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</si>
  <si>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</si>
  <si>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</si>
  <si>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</si>
  <si>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</si>
  <si>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</si>
  <si>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</si>
  <si>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</si>
  <si>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</si>
  <si>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</si>
  <si>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</si>
  <si>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</si>
  <si>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</si>
  <si>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</si>
  <si>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</si>
  <si>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</si>
  <si>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</si>
  <si>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</si>
  <si>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</si>
  <si>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</si>
  <si>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</si>
  <si>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</si>
  <si>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</si>
  <si>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</si>
  <si>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</si>
  <si>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</si>
  <si>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</si>
  <si>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</si>
  <si>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</si>
  <si>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</si>
  <si>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</si>
  <si>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</si>
  <si>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</si>
  <si>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</si>
  <si>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</si>
  <si>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</si>
  <si>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</si>
  <si>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</si>
  <si>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</si>
  <si>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</si>
  <si>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</si>
  <si>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</si>
  <si>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</si>
  <si>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</si>
  <si>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</si>
  <si>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</si>
  <si>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</si>
  <si>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</si>
  <si>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</si>
  <si>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</si>
  <si>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</si>
  <si>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</si>
  <si>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</si>
  <si>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</si>
  <si>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</si>
  <si>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</si>
  <si>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</si>
  <si>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</si>
  <si>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</si>
  <si>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</si>
  <si>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</si>
  <si>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</si>
  <si>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</si>
  <si>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</si>
  <si>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</si>
  <si>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</si>
  <si>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</si>
  <si>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</si>
  <si>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</si>
  <si>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</si>
  <si>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</si>
  <si>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</si>
  <si>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</si>
  <si>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</si>
  <si>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</si>
  <si>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</si>
  <si>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</si>
  <si>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</si>
  <si>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</si>
  <si>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</si>
  <si>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</si>
  <si>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</si>
  <si>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</si>
  <si>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</si>
  <si>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</si>
  <si>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</si>
  <si>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</si>
  <si>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</si>
  <si>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</si>
  <si>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</si>
  <si>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</si>
  <si>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</si>
  <si>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</si>
  <si>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</si>
  <si>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</si>
  <si>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</si>
  <si>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</si>
  <si>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</si>
  <si>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</si>
  <si>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</si>
  <si>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</si>
  <si>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</si>
  <si>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</si>
  <si>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</si>
  <si>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</si>
  <si>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</si>
  <si>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</si>
  <si>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</si>
  <si>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</si>
  <si>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</si>
  <si>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</si>
  <si>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</si>
  <si>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</si>
  <si>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</si>
  <si>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</si>
  <si>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</si>
  <si>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</si>
  <si>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</si>
  <si>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</si>
  <si>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</si>
  <si>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</si>
  <si>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</si>
  <si>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</si>
  <si>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</si>
  <si>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</si>
  <si>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</si>
  <si>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</si>
  <si>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</si>
  <si>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</si>
  <si>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</si>
  <si>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</si>
  <si>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</si>
  <si>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</si>
  <si>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</si>
  <si>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</si>
  <si>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</si>
  <si>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</si>
  <si>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</si>
  <si>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</si>
  <si>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</si>
  <si>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</si>
  <si>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</si>
  <si>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</si>
  <si>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</si>
  <si>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</si>
  <si>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</si>
  <si>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</si>
  <si>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</si>
  <si>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</si>
  <si>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</si>
  <si>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</si>
  <si>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</si>
  <si>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</si>
  <si>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</si>
  <si>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</si>
  <si>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</si>
  <si>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</si>
  <si>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</si>
  <si>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</si>
  <si>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</si>
  <si>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</si>
  <si>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</si>
  <si>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</si>
  <si>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</si>
  <si>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</si>
  <si>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</si>
  <si>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</si>
  <si>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</si>
  <si>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</si>
  <si>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</si>
  <si>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</si>
  <si>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</si>
  <si>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</si>
  <si>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</si>
  <si>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</si>
  <si>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</si>
  <si>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</si>
  <si>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</si>
  <si>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</si>
  <si>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</si>
  <si>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</si>
  <si>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</si>
  <si>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</si>
  <si>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</si>
  <si>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</si>
  <si>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</si>
  <si>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</si>
  <si>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</si>
  <si>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</si>
  <si>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</si>
  <si>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</si>
  <si>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</si>
  <si>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</si>
  <si>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</si>
  <si>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</si>
  <si>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</si>
  <si>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</si>
  <si>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</si>
  <si>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</si>
  <si>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</si>
  <si>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</si>
  <si>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</si>
  <si>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</si>
  <si>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</si>
  <si>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</si>
  <si>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</si>
  <si>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</si>
  <si>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</si>
  <si>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</si>
  <si>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</si>
  <si>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</si>
  <si>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</si>
  <si>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</si>
  <si>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</si>
  <si>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</si>
  <si>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</si>
  <si>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</si>
  <si>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</si>
  <si>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</si>
  <si>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</si>
  <si>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</si>
  <si>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</si>
  <si>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</si>
  <si>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</si>
  <si>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</si>
  <si>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</si>
  <si>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</si>
  <si>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</si>
  <si>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</si>
  <si>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</si>
  <si>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</si>
  <si>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</si>
  <si>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</si>
  <si>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</si>
  <si>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</si>
  <si>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</si>
  <si>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</si>
  <si>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</si>
  <si>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</si>
  <si>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</si>
  <si>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</si>
  <si>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</si>
  <si>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</si>
  <si>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</si>
  <si>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</si>
  <si>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</si>
  <si>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</si>
  <si>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</si>
  <si>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</si>
  <si>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</si>
  <si>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</si>
  <si>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</si>
  <si>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</si>
  <si>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</si>
  <si>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</si>
  <si>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</si>
  <si>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</si>
  <si>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</si>
  <si>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</si>
  <si>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</si>
  <si>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</si>
  <si>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</si>
  <si>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</si>
  <si>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</si>
  <si>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</si>
  <si>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</si>
  <si>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</si>
  <si>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</si>
  <si>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</si>
  <si>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</si>
  <si>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</si>
  <si>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</si>
  <si>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</si>
  <si>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</si>
  <si>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</si>
  <si>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</si>
  <si>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</si>
  <si>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</si>
  <si>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</si>
  <si>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</si>
  <si>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</si>
  <si>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</si>
  <si>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</si>
  <si>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</si>
  <si>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</si>
  <si>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</si>
  <si>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</si>
  <si>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</si>
  <si>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</si>
  <si>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</si>
  <si>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</si>
  <si>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</si>
  <si>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</si>
  <si>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</si>
  <si>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</si>
  <si>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</si>
  <si>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</si>
  <si>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</si>
  <si>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</si>
  <si>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</si>
  <si>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</si>
  <si>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</si>
  <si>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</si>
  <si>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</si>
  <si>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</si>
  <si>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</si>
  <si>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</si>
  <si>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</si>
  <si>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</si>
  <si>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</si>
  <si>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</si>
  <si>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</si>
  <si>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</si>
  <si>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</si>
  <si>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</si>
  <si>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</si>
  <si>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</si>
  <si>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</si>
  <si>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</si>
  <si>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</si>
  <si>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</si>
  <si>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</si>
  <si>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</si>
  <si>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</si>
  <si>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</si>
  <si>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</si>
  <si>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</si>
  <si>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</si>
  <si>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</si>
  <si>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</si>
  <si>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</si>
  <si>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</si>
  <si>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</si>
  <si>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</si>
  <si>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</si>
  <si>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</si>
  <si>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</si>
  <si>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</si>
  <si>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</si>
  <si>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</si>
  <si>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</si>
  <si>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</si>
  <si>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</si>
  <si>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</si>
  <si>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</si>
  <si>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</si>
  <si>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</si>
  <si>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</si>
  <si>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</si>
  <si>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</si>
  <si>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</si>
  <si>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</si>
  <si>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</si>
  <si>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</si>
  <si>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</si>
  <si>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</si>
  <si>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</si>
  <si>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</si>
  <si>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</si>
  <si>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</si>
  <si>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</si>
  <si>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</si>
  <si>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</si>
  <si>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</si>
  <si>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</si>
  <si>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</si>
  <si>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</si>
  <si>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</si>
  <si>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</si>
  <si>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</si>
  <si>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</si>
  <si>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</si>
  <si>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</si>
  <si>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</si>
  <si>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</si>
  <si>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</si>
  <si>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</si>
  <si>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</si>
  <si>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</si>
  <si>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</si>
  <si>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</si>
  <si>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</si>
  <si>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</si>
  <si>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</si>
  <si>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</si>
  <si>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</si>
  <si>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</si>
  <si>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</si>
  <si>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</si>
  <si>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</si>
  <si>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</si>
  <si>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</si>
  <si>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</si>
  <si>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</si>
  <si>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</si>
  <si>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</si>
  <si>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</si>
  <si>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</si>
  <si>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</si>
  <si>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</si>
  <si>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</si>
  <si>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</si>
  <si>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</si>
  <si>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</si>
  <si>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</si>
  <si>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</si>
  <si>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</si>
  <si>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</si>
  <si>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</si>
  <si>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</si>
  <si>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</si>
  <si>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</si>
  <si>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</si>
  <si>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</si>
  <si>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</si>
  <si>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</si>
  <si>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</si>
  <si>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</si>
  <si>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</si>
  <si>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</si>
  <si>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</si>
  <si>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</si>
  <si>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</si>
  <si>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</si>
  <si>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</si>
  <si>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</si>
  <si>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</si>
  <si>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</si>
  <si>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</si>
  <si>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</si>
  <si>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</si>
  <si>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</si>
  <si>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</si>
  <si>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</si>
  <si>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</si>
  <si>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</si>
  <si>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</si>
  <si>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</si>
  <si>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</si>
  <si>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</si>
  <si>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</si>
  <si>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</si>
  <si>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</si>
  <si>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</si>
  <si>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</si>
  <si>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</si>
  <si>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</si>
  <si>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</si>
  <si>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</si>
  <si>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</si>
  <si>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</si>
  <si>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</si>
  <si>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</si>
  <si>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</si>
  <si>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</si>
  <si>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</si>
  <si>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</si>
  <si>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</si>
  <si>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</si>
  <si>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</si>
  <si>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</si>
  <si>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</si>
  <si>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</si>
  <si>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</si>
  <si>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</si>
  <si>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</si>
  <si>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</si>
  <si>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</si>
  <si>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</si>
  <si>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</si>
  <si>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</si>
  <si>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</si>
  <si>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</si>
  <si>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</si>
  <si>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</si>
  <si>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</si>
  <si>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</si>
  <si>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</si>
  <si>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</si>
  <si>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</si>
  <si>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</si>
  <si>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</si>
  <si>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</si>
  <si>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</si>
  <si>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</si>
  <si>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</si>
  <si>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</si>
  <si>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</si>
  <si>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</si>
  <si>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</si>
  <si>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</si>
  <si>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</si>
  <si>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</si>
  <si>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</si>
  <si>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</si>
  <si>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</si>
  <si>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</si>
  <si>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</si>
  <si>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</si>
  <si>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</si>
  <si>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</si>
  <si>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</si>
  <si>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</si>
  <si>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</si>
  <si>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</si>
  <si>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</si>
  <si>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</si>
  <si>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</si>
  <si>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</si>
  <si>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</si>
  <si>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</si>
  <si>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</si>
  <si>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</si>
  <si>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</si>
  <si>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</si>
  <si>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</si>
  <si>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</si>
  <si>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</si>
  <si>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</si>
  <si>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</si>
  <si>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</si>
  <si>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</si>
  <si>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</si>
  <si>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</si>
  <si>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</si>
  <si>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</si>
  <si>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</si>
  <si>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</si>
  <si>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</si>
  <si>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</si>
  <si>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</si>
  <si>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</si>
  <si>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</si>
  <si>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</si>
  <si>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</si>
  <si>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</si>
  <si>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</si>
  <si>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</si>
  <si>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</si>
  <si>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</si>
  <si>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</si>
  <si>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</si>
  <si>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</si>
  <si>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</si>
  <si>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</si>
  <si>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</si>
  <si>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</si>
  <si>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</si>
  <si>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</si>
  <si>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</si>
  <si>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</si>
  <si>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</si>
  <si>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</si>
  <si>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</si>
  <si>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</si>
  <si>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</si>
  <si>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</si>
  <si>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</si>
  <si>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</si>
  <si>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</si>
  <si>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</si>
  <si>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</si>
  <si>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</si>
  <si>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</si>
  <si>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</si>
  <si>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</si>
  <si>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</si>
  <si>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</si>
  <si>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</si>
  <si>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</si>
  <si>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</si>
  <si>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</si>
  <si>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</si>
  <si>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</si>
  <si>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</si>
  <si>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</si>
  <si>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</si>
  <si>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</si>
  <si>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</si>
  <si>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</si>
  <si>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</si>
  <si>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</si>
  <si>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</si>
  <si>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</si>
  <si>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</si>
  <si>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</si>
  <si>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</si>
  <si>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</si>
  <si>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</si>
  <si>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</si>
  <si>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</si>
  <si>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</si>
  <si>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</si>
  <si>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</si>
  <si>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</si>
  <si>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</si>
  <si>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</si>
  <si>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</si>
  <si>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</si>
  <si>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</si>
  <si>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</si>
  <si>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</si>
  <si>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</si>
  <si>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</si>
  <si>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</si>
  <si>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</si>
  <si>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</si>
  <si>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</si>
  <si>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</si>
  <si>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</si>
  <si>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</si>
  <si>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</si>
  <si>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</si>
  <si>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</si>
  <si>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</si>
  <si>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</si>
  <si>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</si>
  <si>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</si>
  <si>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</si>
  <si>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</si>
  <si>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</si>
  <si>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</si>
  <si>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</si>
  <si>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</si>
  <si>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</si>
  <si>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</si>
  <si>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</si>
  <si>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</si>
  <si>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</si>
  <si>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</si>
  <si>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</si>
  <si>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</si>
  <si>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</si>
  <si>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</si>
  <si>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</si>
  <si>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</si>
  <si>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</si>
  <si>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</si>
  <si>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</si>
  <si>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</si>
  <si>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</si>
  <si>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</si>
  <si>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</si>
  <si>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</si>
  <si>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</si>
  <si>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</si>
  <si>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</si>
  <si>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</si>
  <si>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</si>
  <si>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</si>
  <si>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</si>
  <si>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</si>
  <si>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</si>
  <si>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</si>
  <si>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</si>
  <si>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</si>
  <si>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</si>
  <si>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</si>
  <si>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</si>
  <si>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</si>
  <si>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</si>
  <si>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</si>
  <si>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</si>
  <si>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</si>
  <si>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</si>
  <si>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</si>
  <si>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</si>
  <si>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</si>
  <si>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</si>
  <si>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</si>
  <si>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</si>
  <si>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</si>
  <si>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</si>
  <si>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</si>
  <si>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</si>
  <si>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</si>
  <si>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</si>
  <si>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</si>
  <si>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</si>
  <si>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</si>
  <si>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</si>
  <si>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</si>
  <si>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</si>
  <si>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</si>
  <si>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</si>
  <si>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</si>
  <si>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</si>
  <si>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</si>
  <si>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</si>
  <si>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</si>
  <si>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</si>
  <si>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</si>
  <si>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</si>
  <si>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</si>
  <si>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</si>
  <si>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</si>
  <si>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</si>
  <si>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</si>
  <si>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</si>
  <si>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</si>
  <si>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</si>
  <si>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</si>
  <si>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</si>
  <si>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</si>
  <si>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</si>
  <si>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</si>
  <si>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</si>
  <si>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</si>
  <si>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</si>
  <si>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</si>
  <si>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</si>
  <si>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</si>
  <si>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</si>
  <si>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</si>
  <si>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</si>
  <si>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</si>
  <si>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</si>
  <si>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</si>
  <si>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</si>
  <si>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</si>
  <si>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</si>
  <si>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</si>
  <si>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</si>
  <si>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</si>
  <si>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</si>
  <si>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</si>
  <si>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</si>
  <si>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</si>
  <si>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</si>
  <si>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</si>
  <si>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</si>
  <si>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</si>
  <si>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</si>
  <si>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</si>
  <si>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</si>
  <si>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</si>
  <si>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</si>
  <si>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</si>
  <si>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</si>
  <si>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</si>
  <si>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</si>
  <si>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</si>
  <si>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</si>
  <si>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</si>
  <si>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</si>
  <si>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</si>
  <si>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</si>
  <si>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</si>
  <si>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</si>
  <si>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</si>
  <si>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</si>
  <si>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</si>
  <si>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</si>
  <si>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</si>
  <si>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</si>
  <si>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</si>
  <si>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</si>
  <si>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</si>
  <si>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</si>
  <si>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</si>
  <si>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</si>
  <si>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</si>
  <si>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</si>
  <si>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</si>
  <si>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</si>
  <si>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</si>
  <si>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</si>
  <si>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</si>
  <si>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</si>
  <si>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</si>
  <si>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</si>
  <si>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</si>
  <si>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</si>
  <si>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</si>
  <si>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</si>
  <si>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</si>
  <si>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</si>
  <si>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</si>
  <si>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</si>
  <si>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</si>
  <si>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</si>
  <si>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</si>
  <si>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</si>
  <si>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</si>
  <si>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</si>
  <si>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</si>
  <si>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</si>
  <si>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</si>
  <si>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</si>
  <si>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</si>
  <si>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</si>
  <si>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</si>
  <si>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</si>
  <si>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</si>
  <si>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</si>
  <si>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</si>
  <si>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</si>
  <si>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</si>
  <si>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</si>
  <si>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</si>
  <si>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</si>
  <si>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</si>
  <si>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</si>
  <si>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</si>
  <si>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</si>
  <si>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</si>
  <si>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</si>
  <si>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</si>
  <si>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</si>
  <si>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</si>
  <si>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</si>
  <si>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</si>
  <si>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</si>
  <si>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</si>
  <si>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</si>
  <si>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</si>
  <si>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</si>
  <si>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</si>
  <si>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</si>
  <si>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</si>
  <si>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</si>
  <si>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</si>
  <si>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</si>
  <si>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</si>
  <si>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</si>
  <si>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</si>
  <si>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</si>
  <si>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</si>
  <si>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</si>
  <si>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</si>
  <si>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</si>
  <si>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</si>
  <si>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</si>
  <si>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</si>
  <si>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</si>
  <si>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</si>
  <si>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</si>
  <si>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</si>
  <si>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</si>
  <si>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</si>
  <si>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</si>
  <si>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</si>
  <si>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</si>
  <si>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</si>
  <si>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</si>
  <si>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</si>
  <si>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</si>
  <si>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</si>
  <si>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</si>
  <si>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</si>
  <si>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</si>
  <si>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</si>
  <si>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</si>
  <si>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</si>
  <si>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</si>
  <si>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</si>
  <si>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</si>
  <si>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</si>
  <si>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</si>
  <si>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</si>
  <si>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</si>
  <si>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</si>
  <si>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</si>
  <si>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</si>
  <si>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</si>
  <si>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</si>
  <si>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</si>
  <si>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</si>
  <si>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</si>
  <si>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</si>
  <si>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</si>
  <si>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</si>
  <si>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</si>
  <si>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</si>
  <si>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</si>
  <si>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</si>
  <si>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</si>
  <si>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</si>
  <si>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</si>
  <si>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</si>
  <si>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</si>
  <si>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</si>
  <si>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</si>
  <si>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</si>
  <si>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</si>
  <si>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</si>
  <si>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</si>
  <si>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</si>
  <si>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</si>
  <si>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</si>
  <si>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</si>
  <si>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</si>
  <si>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</si>
  <si>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</si>
  <si>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</si>
  <si>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</si>
  <si>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</si>
  <si>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</si>
  <si>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</si>
  <si>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</si>
  <si>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</si>
  <si>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</si>
  <si>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</si>
  <si>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</si>
  <si>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</si>
  <si>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</si>
  <si>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</si>
  <si>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</si>
  <si>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</si>
  <si>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</si>
  <si>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</si>
  <si>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</si>
  <si>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</si>
  <si>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</si>
  <si>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</si>
  <si>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</si>
  <si>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</si>
  <si>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</si>
  <si>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</si>
  <si>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</si>
  <si>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</si>
  <si>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</si>
  <si>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</si>
  <si>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</si>
  <si>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</si>
  <si>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</si>
  <si>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</si>
  <si>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</si>
  <si>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</si>
  <si>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</si>
  <si>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</si>
  <si>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</si>
  <si>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</si>
  <si>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</si>
  <si>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</si>
  <si>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</si>
  <si>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</si>
  <si>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</si>
  <si>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</si>
  <si>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</si>
  <si>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</si>
  <si>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</si>
  <si>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</si>
  <si>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</si>
  <si>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</si>
  <si>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</si>
  <si>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</si>
  <si>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</si>
  <si>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</si>
  <si>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</si>
  <si>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</si>
  <si>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</si>
  <si>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</si>
  <si>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</si>
  <si>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</si>
  <si>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</si>
  <si>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</si>
  <si>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</si>
  <si>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</si>
  <si>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</si>
  <si>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</si>
  <si>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</si>
  <si>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</si>
  <si>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</si>
  <si>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</si>
  <si>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</si>
  <si>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</si>
  <si>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</si>
  <si>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</si>
  <si>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</si>
  <si>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</si>
  <si>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</si>
  <si>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</si>
  <si>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</si>
  <si>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</si>
  <si>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</si>
  <si>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</si>
  <si>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</si>
  <si>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</si>
  <si>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</si>
  <si>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</si>
  <si>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</si>
  <si>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</si>
  <si>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</si>
  <si>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</si>
  <si>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</si>
  <si>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</si>
  <si>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</si>
  <si>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</si>
  <si>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</si>
  <si>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</si>
  <si>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</si>
  <si>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</si>
  <si>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</si>
  <si>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</si>
  <si>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</si>
  <si>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</si>
  <si>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</si>
  <si>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</si>
  <si>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</si>
  <si>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</si>
  <si>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</si>
  <si>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</si>
  <si>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</si>
  <si>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</si>
  <si>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</si>
  <si>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</si>
  <si>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</si>
  <si>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</si>
  <si>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</si>
  <si>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</si>
  <si>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</si>
  <si>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</si>
  <si>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</si>
  <si>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</si>
  <si>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</si>
  <si>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</si>
  <si>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</si>
  <si>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</si>
  <si>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</si>
  <si>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</si>
  <si>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</si>
  <si>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</si>
  <si>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</si>
  <si>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</si>
  <si>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</si>
  <si>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</si>
  <si>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</si>
  <si>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</si>
  <si>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</si>
  <si>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</si>
  <si>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</si>
  <si>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</si>
  <si>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</si>
  <si>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</si>
  <si>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</si>
  <si>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</si>
  <si>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</si>
  <si>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</si>
  <si>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</si>
  <si>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</si>
  <si>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</si>
  <si>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</si>
  <si>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</si>
  <si>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</si>
  <si>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</si>
  <si>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</si>
  <si>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</si>
  <si>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</si>
  <si>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</si>
  <si>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</si>
  <si>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</si>
  <si>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</si>
  <si>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</si>
  <si>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</si>
  <si>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</si>
  <si>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</si>
  <si>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</si>
  <si>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</si>
  <si>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</si>
  <si>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</si>
  <si>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</si>
  <si>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</si>
  <si>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</si>
  <si>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</si>
  <si>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</si>
  <si>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</si>
  <si>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</si>
  <si>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</si>
  <si>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</si>
  <si>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</si>
  <si>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</si>
  <si>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</si>
  <si>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</si>
  <si>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</si>
  <si>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</si>
  <si>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</si>
  <si>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</si>
  <si>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</si>
  <si>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</si>
  <si>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</si>
  <si>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</si>
  <si>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</si>
  <si>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</si>
  <si>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</si>
  <si>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</si>
  <si>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</si>
  <si>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</si>
  <si>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</si>
  <si>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</si>
  <si>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</si>
  <si>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</si>
  <si>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</si>
  <si>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</si>
  <si>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エレキッド,エレキブル,エレブー,コリンク,サンダース,シママ,ゼブライカ,デンリュウ,パチリス,ピカチュウ,ピチュー,ビリリダマ,プラスル,マイナン,マルマイン,メリープ,モココ,ライコウ,ライチュウ,ライボルト,ラクライ,ルクシオ,レントラ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</si>
  <si>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</si>
  <si>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</si>
  <si>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</si>
  <si>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</si>
  <si>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</si>
  <si>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</si>
  <si>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</si>
  <si>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</si>
  <si>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アチャモ,ウインディ,エンテイ,ガーディ,ギャロップ,キュウコン,クイタラン,コータス,バオッキー,バオップ,バクフーン,ヒコザル,ヒトカゲ,ヒノアラシ,ブースター,ブーバー,ブーバーン,ブビィ,ポカブ,ポニータ,ポワルン(たいよう),マグマッグ,マグマラシ,リザード,ロコン</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</si>
  <si>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</si>
  <si>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</si>
  <si>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</si>
  <si>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</si>
  <si>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</si>
  <si>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</si>
  <si>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</si>
  <si>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</si>
  <si>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</si>
  <si>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</si>
  <si>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</si>
  <si>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</si>
  <si>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</si>
  <si>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</si>
  <si>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</si>
  <si>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</si>
  <si>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</si>
  <si>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</si>
  <si>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</si>
  <si>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</si>
  <si>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</si>
  <si>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</si>
  <si>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</si>
  <si>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</si>
  <si>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</si>
  <si>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</si>
  <si>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</si>
  <si>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</si>
  <si>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</si>
  <si>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</si>
  <si>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</si>
  <si>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</si>
  <si>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</si>
  <si>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</si>
  <si>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</si>
  <si>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</si>
  <si>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</si>
  <si>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</si>
  <si>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</si>
  <si>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</si>
  <si>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</si>
  <si>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</si>
  <si>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</si>
  <si>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</si>
  <si>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</si>
  <si>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オオスバメ,オニスズメ,オニドリル,カモネギ,ケンホロウ,スバメ,チルット,ドードー,ドードリオ,ハトーボー,ピジョット,ピジョン,ペラップ,ホーホー,ポッポ,マメパト,ムクバード,ムクホーク,ムックル,ヨルノズク</t>
  </si>
  <si>
    <t>イーブイ,エイパム,エテボース,エネコ,エネコロロ,オオタチ,オタチ,オドシシ,カビゴン,ガルーラ,ケッキング,ケンタロス,ゴニョニョ,コラッタ,ゴンベ,ザングース,ジグザグマ,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</si>
  <si>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</si>
  <si>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</si>
  <si>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</si>
  <si>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</si>
  <si>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</si>
  <si>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</si>
  <si>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</si>
  <si>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</si>
  <si>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</si>
  <si>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</si>
  <si>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</si>
  <si>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</si>
  <si>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</si>
  <si>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</si>
  <si>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</si>
  <si>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</si>
  <si>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</si>
  <si>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</si>
  <si>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</si>
  <si>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</si>
  <si>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</si>
  <si>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</si>
  <si>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</si>
  <si>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</si>
  <si>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</si>
  <si>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</si>
  <si>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</si>
  <si>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</si>
  <si>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</si>
  <si>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</si>
  <si>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</si>
  <si>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</si>
  <si>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</si>
  <si>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</si>
  <si>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</si>
  <si>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</si>
  <si>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</si>
  <si>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</si>
  <si>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</si>
  <si>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</si>
  <si>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</si>
  <si>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</si>
  <si>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</si>
  <si>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</si>
  <si>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天候未設定</t>
    <rPh sb="0" eb="2">
      <t>テンコウ</t>
    </rPh>
    <rPh sb="2" eb="5">
      <t>ミセッテイ</t>
    </rPh>
    <phoneticPr fontId="3"/>
  </si>
  <si>
    <t>天候設定</t>
    <rPh sb="0" eb="2">
      <t>テンコウ</t>
    </rPh>
    <rPh sb="2" eb="4">
      <t>セッテイ</t>
    </rPh>
    <phoneticPr fontId="3"/>
  </si>
  <si>
    <t>CP</t>
    <phoneticPr fontId="3"/>
  </si>
  <si>
    <t>予測・天候未設定</t>
    <rPh sb="0" eb="2">
      <t>ヨソク</t>
    </rPh>
    <rPh sb="3" eb="5">
      <t>テンコウ</t>
    </rPh>
    <rPh sb="5" eb="8">
      <t>ミセッテイ</t>
    </rPh>
    <phoneticPr fontId="3"/>
  </si>
  <si>
    <t>予測・天候設定</t>
    <rPh sb="0" eb="2">
      <t>ヨソク</t>
    </rPh>
    <rPh sb="3" eb="5">
      <t>テンコウ</t>
    </rPh>
    <rPh sb="5" eb="7">
      <t>セッテイ</t>
    </rPh>
    <phoneticPr fontId="3"/>
  </si>
  <si>
    <t>相手</t>
    <rPh sb="0" eb="2">
      <t>アイテ</t>
    </rPh>
    <phoneticPr fontId="3"/>
  </si>
  <si>
    <t>HP</t>
    <phoneticPr fontId="3"/>
  </si>
  <si>
    <t>個体HP</t>
    <rPh sb="0" eb="2">
      <t>コタイ</t>
    </rPh>
    <phoneticPr fontId="3"/>
  </si>
  <si>
    <t>個体DEF</t>
    <rPh sb="0" eb="2">
      <t>コタイ</t>
    </rPh>
    <phoneticPr fontId="3"/>
  </si>
  <si>
    <t>個体ATK</t>
    <rPh sb="0" eb="2">
      <t>コタイ</t>
    </rPh>
    <phoneticPr fontId="3"/>
  </si>
  <si>
    <t>上限</t>
    <rPh sb="0" eb="2">
      <t>ジョウゲン</t>
    </rPh>
    <phoneticPr fontId="3"/>
  </si>
  <si>
    <t>下限</t>
    <rPh sb="0" eb="2">
      <t>カゲン</t>
    </rPh>
    <phoneticPr fontId="3"/>
  </si>
  <si>
    <t>CPによる限定</t>
    <rPh sb="5" eb="7">
      <t>ゲンテイ</t>
    </rPh>
    <phoneticPr fontId="3"/>
  </si>
  <si>
    <t>設定</t>
    <rPh sb="0" eb="2">
      <t>セッテイ</t>
    </rPh>
    <phoneticPr fontId="3"/>
  </si>
  <si>
    <t>攻撃遅延</t>
    <rPh sb="0" eb="4">
      <t>コウゲキ</t>
    </rPh>
    <phoneticPr fontId="3"/>
  </si>
  <si>
    <t>順位数</t>
    <rPh sb="0" eb="2">
      <t>ジュンイ</t>
    </rPh>
    <rPh sb="2" eb="3">
      <t>スウ</t>
    </rPh>
    <phoneticPr fontId="3"/>
  </si>
  <si>
    <t>順位付け</t>
    <rPh sb="0" eb="3">
      <t>ジュンイヅ</t>
    </rPh>
    <phoneticPr fontId="3"/>
  </si>
  <si>
    <t>該当する場合、或は該当した時点にて、本ファイルを速やかに削除してください。</t>
    <rPh sb="7" eb="8">
      <t>アルイ</t>
    </rPh>
    <phoneticPr fontId="3"/>
  </si>
  <si>
    <t>計算時間</t>
    <rPh sb="0" eb="2">
      <t>ケイサン</t>
    </rPh>
    <rPh sb="2" eb="4">
      <t>ジカン</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</si>
  <si>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</si>
  <si>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</si>
  <si>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</si>
  <si>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</si>
  <si>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</si>
  <si>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</si>
  <si>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</si>
  <si>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</si>
  <si>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</si>
  <si>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</si>
  <si>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</si>
  <si>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</si>
  <si>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</si>
  <si>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</si>
  <si>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</si>
  <si>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</si>
  <si>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</si>
  <si>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</si>
  <si>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</si>
  <si>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</si>
  <si>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</si>
  <si>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</si>
  <si>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</si>
  <si>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</si>
  <si>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</si>
  <si>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</si>
  <si>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</si>
  <si>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</si>
  <si>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</si>
  <si>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</si>
  <si>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</si>
  <si>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</si>
  <si>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</si>
  <si>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</si>
  <si>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</si>
  <si>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</si>
  <si>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</si>
  <si>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</si>
  <si>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</si>
  <si>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</si>
  <si>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</si>
  <si>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</si>
  <si>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</si>
  <si>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</si>
  <si>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</si>
  <si>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</si>
  <si>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</si>
  <si>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</si>
  <si>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</si>
  <si>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</si>
  <si>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</si>
  <si>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</si>
  <si>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</si>
  <si>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</si>
  <si>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</si>
  <si>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</si>
  <si>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</si>
  <si>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</si>
  <si>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</si>
  <si>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</si>
  <si>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</si>
  <si>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</si>
  <si>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</si>
  <si>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</si>
  <si>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</si>
  <si>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</si>
  <si>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</si>
  <si>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r>
      <t>ノーマル</t>
    </r>
    <r>
      <rPr>
        <sz val="11"/>
        <color theme="1"/>
        <rFont val="メイリオ"/>
        <family val="2"/>
        <charset val="128"/>
        <scheme val="minor"/>
      </rPr>
      <t>,</t>
    </r>
    <r>
      <rPr>
        <sz val="11"/>
        <color rgb="FF90AADE"/>
        <rFont val="メイリオ"/>
        <family val="2"/>
        <charset val="128"/>
        <scheme val="minor"/>
      </rPr>
      <t>ひこう</t>
    </r>
  </si>
  <si>
    <r>
      <t>ノーマル</t>
    </r>
    <r>
      <rPr>
        <sz val="11"/>
        <color theme="1"/>
        <rFont val="メイリオ"/>
        <family val="2"/>
        <charset val="128"/>
        <scheme val="minor"/>
      </rPr>
      <t>,</t>
    </r>
    <r>
      <rPr>
        <sz val="11"/>
        <color rgb="FF4F90D1"/>
        <rFont val="メイリオ"/>
        <family val="2"/>
        <charset val="128"/>
        <scheme val="minor"/>
      </rPr>
      <t>みず</t>
    </r>
  </si>
  <si>
    <r>
      <t>ノーマル</t>
    </r>
    <r>
      <rPr>
        <sz val="11"/>
        <color theme="1"/>
        <rFont val="メイリオ"/>
        <family val="2"/>
        <charset val="128"/>
        <scheme val="minor"/>
      </rPr>
      <t>,</t>
    </r>
    <r>
      <rPr>
        <sz val="11"/>
        <color rgb="FFF86E73"/>
        <rFont val="メイリオ"/>
        <family val="2"/>
        <charset val="128"/>
        <scheme val="minor"/>
      </rPr>
      <t>エスパー</t>
    </r>
  </si>
  <si>
    <r>
      <t>ノーマル</t>
    </r>
    <r>
      <rPr>
        <sz val="11"/>
        <color theme="1"/>
        <rFont val="メイリオ"/>
        <family val="2"/>
        <charset val="128"/>
        <scheme val="minor"/>
      </rPr>
      <t>,</t>
    </r>
    <r>
      <rPr>
        <sz val="11"/>
        <color rgb="FF585365"/>
        <rFont val="メイリオ"/>
        <family val="2"/>
        <charset val="128"/>
        <scheme val="minor"/>
      </rPr>
      <t>あく</t>
    </r>
  </si>
  <si>
    <r>
      <t>ノーマル</t>
    </r>
    <r>
      <rPr>
        <sz val="11"/>
        <color theme="1"/>
        <rFont val="メイリオ"/>
        <family val="2"/>
        <charset val="128"/>
        <scheme val="minor"/>
      </rPr>
      <t>,</t>
    </r>
    <r>
      <rPr>
        <sz val="11"/>
        <color rgb="FFEC90E2"/>
        <rFont val="メイリオ"/>
        <family val="2"/>
        <charset val="128"/>
        <scheme val="minor"/>
      </rPr>
      <t>フェアリー</t>
    </r>
  </si>
  <si>
    <r>
      <t>かくとう</t>
    </r>
    <r>
      <rPr>
        <sz val="11"/>
        <color theme="1"/>
        <rFont val="メイリオ"/>
        <family val="2"/>
        <charset val="128"/>
        <scheme val="minor"/>
      </rPr>
      <t>,</t>
    </r>
    <r>
      <rPr>
        <sz val="11"/>
        <color rgb="FFA364C3"/>
        <rFont val="メイリオ"/>
        <family val="2"/>
        <charset val="128"/>
        <scheme val="minor"/>
      </rPr>
      <t>どく</t>
    </r>
  </si>
  <si>
    <r>
      <t>かくとう</t>
    </r>
    <r>
      <rPr>
        <sz val="11"/>
        <color theme="1"/>
        <rFont val="メイリオ"/>
        <family val="2"/>
        <charset val="128"/>
        <scheme val="minor"/>
      </rPr>
      <t>,</t>
    </r>
    <r>
      <rPr>
        <sz val="11"/>
        <color rgb="FF90BE2F"/>
        <rFont val="メイリオ"/>
        <family val="2"/>
        <charset val="128"/>
        <scheme val="minor"/>
      </rPr>
      <t>むし</t>
    </r>
  </si>
  <si>
    <r>
      <t>かくとう</t>
    </r>
    <r>
      <rPr>
        <sz val="11"/>
        <color theme="1"/>
        <rFont val="メイリオ"/>
        <family val="2"/>
        <charset val="128"/>
        <scheme val="minor"/>
      </rPr>
      <t>,</t>
    </r>
    <r>
      <rPr>
        <sz val="11"/>
        <color rgb="FFC4B589"/>
        <rFont val="メイリオ"/>
        <family val="2"/>
        <charset val="128"/>
        <scheme val="minor"/>
      </rPr>
      <t>いわ</t>
    </r>
  </si>
  <si>
    <r>
      <t>かくとう</t>
    </r>
    <r>
      <rPr>
        <sz val="11"/>
        <color theme="1"/>
        <rFont val="メイリオ"/>
        <family val="2"/>
        <charset val="128"/>
        <scheme val="minor"/>
      </rPr>
      <t>,</t>
    </r>
    <r>
      <rPr>
        <sz val="11"/>
        <color rgb="FF508698"/>
        <rFont val="メイリオ"/>
        <family val="2"/>
        <charset val="128"/>
        <scheme val="minor"/>
      </rPr>
      <t>はがね</t>
    </r>
  </si>
  <si>
    <r>
      <t>かくとう</t>
    </r>
    <r>
      <rPr>
        <sz val="11"/>
        <color theme="1"/>
        <rFont val="メイリオ"/>
        <family val="2"/>
        <charset val="128"/>
        <scheme val="minor"/>
      </rPr>
      <t>,</t>
    </r>
    <r>
      <rPr>
        <sz val="11"/>
        <color rgb="FFFF9D54"/>
        <rFont val="メイリオ"/>
        <family val="2"/>
        <charset val="128"/>
        <scheme val="minor"/>
      </rPr>
      <t>ほのお</t>
    </r>
  </si>
  <si>
    <r>
      <t>かくとう</t>
    </r>
    <r>
      <rPr>
        <sz val="11"/>
        <color theme="1"/>
        <rFont val="メイリオ"/>
        <family val="2"/>
        <charset val="128"/>
        <scheme val="minor"/>
      </rPr>
      <t>,</t>
    </r>
    <r>
      <rPr>
        <sz val="11"/>
        <color rgb="FF4F90D1"/>
        <rFont val="メイリオ"/>
        <family val="2"/>
        <charset val="128"/>
        <scheme val="minor"/>
      </rPr>
      <t>みず</t>
    </r>
  </si>
  <si>
    <r>
      <t>かくとう</t>
    </r>
    <r>
      <rPr>
        <sz val="11"/>
        <color theme="1"/>
        <rFont val="メイリオ"/>
        <family val="2"/>
        <charset val="128"/>
        <scheme val="minor"/>
      </rPr>
      <t>,</t>
    </r>
    <r>
      <rPr>
        <sz val="11"/>
        <color rgb="FF5EB654"/>
        <rFont val="メイリオ"/>
        <family val="2"/>
        <charset val="128"/>
        <scheme val="minor"/>
      </rPr>
      <t>くさ</t>
    </r>
  </si>
  <si>
    <r>
      <t>かくとう</t>
    </r>
    <r>
      <rPr>
        <sz val="11"/>
        <color theme="1"/>
        <rFont val="メイリオ"/>
        <family val="2"/>
        <charset val="128"/>
        <scheme val="minor"/>
      </rPr>
      <t>,</t>
    </r>
    <r>
      <rPr>
        <sz val="11"/>
        <color rgb="FFF86E73"/>
        <rFont val="メイリオ"/>
        <family val="2"/>
        <charset val="128"/>
        <scheme val="minor"/>
      </rPr>
      <t>エスパー</t>
    </r>
  </si>
  <si>
    <r>
      <t>どく</t>
    </r>
    <r>
      <rPr>
        <sz val="11"/>
        <color theme="1"/>
        <rFont val="メイリオ"/>
        <family val="2"/>
        <charset val="128"/>
        <scheme val="minor"/>
      </rPr>
      <t>,</t>
    </r>
    <r>
      <rPr>
        <sz val="11"/>
        <color rgb="FFD47948"/>
        <rFont val="メイリオ"/>
        <family val="2"/>
        <charset val="128"/>
        <scheme val="minor"/>
      </rPr>
      <t>じめん</t>
    </r>
  </si>
  <si>
    <r>
      <t>どく</t>
    </r>
    <r>
      <rPr>
        <sz val="11"/>
        <color theme="1"/>
        <rFont val="メイリオ"/>
        <family val="2"/>
        <charset val="128"/>
        <scheme val="minor"/>
      </rPr>
      <t>,</t>
    </r>
    <r>
      <rPr>
        <sz val="11"/>
        <color rgb="FF90AADE"/>
        <rFont val="メイリオ"/>
        <family val="2"/>
        <charset val="128"/>
        <scheme val="minor"/>
      </rPr>
      <t>ひこう</t>
    </r>
  </si>
  <si>
    <r>
      <t>どく</t>
    </r>
    <r>
      <rPr>
        <sz val="11"/>
        <color theme="1"/>
        <rFont val="メイリオ"/>
        <family val="2"/>
        <charset val="128"/>
        <scheme val="minor"/>
      </rPr>
      <t>,</t>
    </r>
    <r>
      <rPr>
        <sz val="11"/>
        <color rgb="FF90BE2F"/>
        <rFont val="メイリオ"/>
        <family val="2"/>
        <charset val="128"/>
        <scheme val="minor"/>
      </rPr>
      <t>むし</t>
    </r>
  </si>
  <si>
    <r>
      <t>どく</t>
    </r>
    <r>
      <rPr>
        <sz val="11"/>
        <color theme="1"/>
        <rFont val="メイリオ"/>
        <family val="2"/>
        <charset val="128"/>
        <scheme val="minor"/>
      </rPr>
      <t>,</t>
    </r>
    <r>
      <rPr>
        <sz val="11"/>
        <color rgb="FF5367A9"/>
        <rFont val="メイリオ"/>
        <family val="2"/>
        <charset val="128"/>
        <scheme val="minor"/>
      </rPr>
      <t>ゴースト</t>
    </r>
  </si>
  <si>
    <r>
      <t>どく</t>
    </r>
    <r>
      <rPr>
        <sz val="11"/>
        <color theme="1"/>
        <rFont val="メイリオ"/>
        <family val="2"/>
        <charset val="128"/>
        <scheme val="minor"/>
      </rPr>
      <t>,</t>
    </r>
    <r>
      <rPr>
        <sz val="11"/>
        <color rgb="FF4F90D1"/>
        <rFont val="メイリオ"/>
        <family val="2"/>
        <charset val="128"/>
        <scheme val="minor"/>
      </rPr>
      <t>みず</t>
    </r>
  </si>
  <si>
    <r>
      <t>どく</t>
    </r>
    <r>
      <rPr>
        <sz val="11"/>
        <color theme="1"/>
        <rFont val="メイリオ"/>
        <family val="2"/>
        <charset val="128"/>
        <scheme val="minor"/>
      </rPr>
      <t>,</t>
    </r>
    <r>
      <rPr>
        <sz val="11"/>
        <color rgb="FF5EB654"/>
        <rFont val="メイリオ"/>
        <family val="2"/>
        <charset val="128"/>
        <scheme val="minor"/>
      </rPr>
      <t>くさ</t>
    </r>
  </si>
  <si>
    <r>
      <t>どく</t>
    </r>
    <r>
      <rPr>
        <sz val="11"/>
        <color theme="1"/>
        <rFont val="メイリオ"/>
        <family val="2"/>
        <charset val="128"/>
        <scheme val="minor"/>
      </rPr>
      <t>,</t>
    </r>
    <r>
      <rPr>
        <sz val="11"/>
        <color rgb="FF585365"/>
        <rFont val="メイリオ"/>
        <family val="2"/>
        <charset val="128"/>
        <scheme val="minor"/>
      </rPr>
      <t>あく</t>
    </r>
  </si>
  <si>
    <r>
      <t>どく</t>
    </r>
    <r>
      <rPr>
        <sz val="11"/>
        <color theme="1"/>
        <rFont val="メイリオ"/>
        <family val="2"/>
        <charset val="128"/>
        <scheme val="minor"/>
      </rPr>
      <t>,</t>
    </r>
    <r>
      <rPr>
        <sz val="11"/>
        <color rgb="FFEC90E2"/>
        <rFont val="メイリオ"/>
        <family val="2"/>
        <charset val="128"/>
        <scheme val="minor"/>
      </rPr>
      <t>フェアリー</t>
    </r>
  </si>
  <si>
    <r>
      <t>じめん</t>
    </r>
    <r>
      <rPr>
        <sz val="11"/>
        <color theme="1"/>
        <rFont val="メイリオ"/>
        <family val="2"/>
        <charset val="128"/>
        <scheme val="minor"/>
      </rPr>
      <t>,</t>
    </r>
    <r>
      <rPr>
        <sz val="11"/>
        <color rgb="FF90AADE"/>
        <rFont val="メイリオ"/>
        <family val="2"/>
        <charset val="128"/>
        <scheme val="minor"/>
      </rPr>
      <t>ひこう</t>
    </r>
  </si>
  <si>
    <r>
      <t>じめん</t>
    </r>
    <r>
      <rPr>
        <sz val="11"/>
        <color theme="1"/>
        <rFont val="メイリオ"/>
        <family val="2"/>
        <charset val="128"/>
        <scheme val="minor"/>
      </rPr>
      <t>,</t>
    </r>
    <r>
      <rPr>
        <sz val="11"/>
        <color rgb="FF90BE2F"/>
        <rFont val="メイリオ"/>
        <family val="2"/>
        <charset val="128"/>
        <scheme val="minor"/>
      </rPr>
      <t>むし</t>
    </r>
  </si>
  <si>
    <r>
      <t>じめん</t>
    </r>
    <r>
      <rPr>
        <sz val="11"/>
        <color theme="1"/>
        <rFont val="メイリオ"/>
        <family val="2"/>
        <charset val="128"/>
        <scheme val="minor"/>
      </rPr>
      <t>,</t>
    </r>
    <r>
      <rPr>
        <sz val="11"/>
        <color rgb="FFC4B589"/>
        <rFont val="メイリオ"/>
        <family val="2"/>
        <charset val="128"/>
        <scheme val="minor"/>
      </rPr>
      <t>いわ</t>
    </r>
  </si>
  <si>
    <r>
      <t>じめん</t>
    </r>
    <r>
      <rPr>
        <sz val="11"/>
        <color theme="1"/>
        <rFont val="メイリオ"/>
        <family val="2"/>
        <charset val="128"/>
        <scheme val="minor"/>
      </rPr>
      <t>,</t>
    </r>
    <r>
      <rPr>
        <sz val="11"/>
        <color rgb="FF5367A9"/>
        <rFont val="メイリオ"/>
        <family val="2"/>
        <charset val="128"/>
        <scheme val="minor"/>
      </rPr>
      <t>ゴースト</t>
    </r>
  </si>
  <si>
    <r>
      <t>じめん</t>
    </r>
    <r>
      <rPr>
        <sz val="11"/>
        <color theme="1"/>
        <rFont val="メイリオ"/>
        <family val="2"/>
        <charset val="128"/>
        <scheme val="minor"/>
      </rPr>
      <t>,</t>
    </r>
    <r>
      <rPr>
        <sz val="11"/>
        <color rgb="FF508698"/>
        <rFont val="メイリオ"/>
        <family val="2"/>
        <charset val="128"/>
        <scheme val="minor"/>
      </rPr>
      <t>はがね</t>
    </r>
  </si>
  <si>
    <r>
      <t>じめん</t>
    </r>
    <r>
      <rPr>
        <sz val="11"/>
        <color theme="1"/>
        <rFont val="メイリオ"/>
        <family val="2"/>
        <charset val="128"/>
        <scheme val="minor"/>
      </rPr>
      <t>,</t>
    </r>
    <r>
      <rPr>
        <sz val="11"/>
        <color rgb="FFFF9D54"/>
        <rFont val="メイリオ"/>
        <family val="2"/>
        <charset val="128"/>
        <scheme val="minor"/>
      </rPr>
      <t>ほのお</t>
    </r>
  </si>
  <si>
    <r>
      <t>じめん</t>
    </r>
    <r>
      <rPr>
        <sz val="11"/>
        <color theme="1"/>
        <rFont val="メイリオ"/>
        <family val="2"/>
        <charset val="128"/>
        <scheme val="minor"/>
      </rPr>
      <t>,</t>
    </r>
    <r>
      <rPr>
        <sz val="11"/>
        <color rgb="FF4F90D1"/>
        <rFont val="メイリオ"/>
        <family val="2"/>
        <charset val="128"/>
        <scheme val="minor"/>
      </rPr>
      <t>みず</t>
    </r>
  </si>
  <si>
    <r>
      <t>じめん</t>
    </r>
    <r>
      <rPr>
        <sz val="11"/>
        <color theme="1"/>
        <rFont val="メイリオ"/>
        <family val="2"/>
        <charset val="128"/>
        <scheme val="minor"/>
      </rPr>
      <t>,</t>
    </r>
    <r>
      <rPr>
        <sz val="11"/>
        <color rgb="FF5EB654"/>
        <rFont val="メイリオ"/>
        <family val="2"/>
        <charset val="128"/>
        <scheme val="minor"/>
      </rPr>
      <t>くさ</t>
    </r>
  </si>
  <si>
    <r>
      <t>じめん</t>
    </r>
    <r>
      <rPr>
        <sz val="11"/>
        <color theme="1"/>
        <rFont val="メイリオ"/>
        <family val="2"/>
        <charset val="128"/>
        <scheme val="minor"/>
      </rPr>
      <t>,</t>
    </r>
    <r>
      <rPr>
        <sz val="11"/>
        <color rgb="FF71C7BA"/>
        <rFont val="メイリオ"/>
        <family val="2"/>
        <charset val="128"/>
        <scheme val="minor"/>
      </rPr>
      <t>こおり</t>
    </r>
  </si>
  <si>
    <r>
      <t>じめん</t>
    </r>
    <r>
      <rPr>
        <sz val="11"/>
        <color theme="1"/>
        <rFont val="メイリオ"/>
        <family val="2"/>
        <charset val="128"/>
        <scheme val="minor"/>
      </rPr>
      <t>,</t>
    </r>
    <r>
      <rPr>
        <sz val="11"/>
        <color rgb="FFF86E73"/>
        <rFont val="メイリオ"/>
        <family val="2"/>
        <charset val="128"/>
        <scheme val="minor"/>
      </rPr>
      <t>エスパー</t>
    </r>
  </si>
  <si>
    <r>
      <t>じめん</t>
    </r>
    <r>
      <rPr>
        <sz val="11"/>
        <color theme="1"/>
        <rFont val="メイリオ"/>
        <family val="2"/>
        <charset val="128"/>
        <scheme val="minor"/>
      </rPr>
      <t>,</t>
    </r>
    <r>
      <rPr>
        <sz val="11"/>
        <color rgb="FF0B68B9"/>
        <rFont val="メイリオ"/>
        <family val="2"/>
        <charset val="128"/>
        <scheme val="minor"/>
      </rPr>
      <t>ドラゴン</t>
    </r>
  </si>
  <si>
    <r>
      <t>ひこう</t>
    </r>
    <r>
      <rPr>
        <sz val="11"/>
        <color theme="1"/>
        <rFont val="メイリオ"/>
        <family val="2"/>
        <charset val="128"/>
        <scheme val="minor"/>
      </rPr>
      <t>,</t>
    </r>
    <r>
      <rPr>
        <sz val="11"/>
        <color rgb="FF90BE2F"/>
        <rFont val="メイリオ"/>
        <family val="2"/>
        <charset val="128"/>
        <scheme val="minor"/>
      </rPr>
      <t>むし</t>
    </r>
  </si>
  <si>
    <r>
      <t>ひこう</t>
    </r>
    <r>
      <rPr>
        <sz val="11"/>
        <color theme="1"/>
        <rFont val="メイリオ"/>
        <family val="2"/>
        <charset val="128"/>
        <scheme val="minor"/>
      </rPr>
      <t>,</t>
    </r>
    <r>
      <rPr>
        <sz val="11"/>
        <color rgb="FFC4B589"/>
        <rFont val="メイリオ"/>
        <family val="2"/>
        <charset val="128"/>
        <scheme val="minor"/>
      </rPr>
      <t>いわ</t>
    </r>
  </si>
  <si>
    <r>
      <t>ひこう</t>
    </r>
    <r>
      <rPr>
        <sz val="11"/>
        <color theme="1"/>
        <rFont val="メイリオ"/>
        <family val="2"/>
        <charset val="128"/>
        <scheme val="minor"/>
      </rPr>
      <t>,</t>
    </r>
    <r>
      <rPr>
        <sz val="11"/>
        <color rgb="FF5367A9"/>
        <rFont val="メイリオ"/>
        <family val="2"/>
        <charset val="128"/>
        <scheme val="minor"/>
      </rPr>
      <t>ゴースト</t>
    </r>
  </si>
  <si>
    <r>
      <t>ひこう</t>
    </r>
    <r>
      <rPr>
        <sz val="11"/>
        <color theme="1"/>
        <rFont val="メイリオ"/>
        <family val="2"/>
        <charset val="128"/>
        <scheme val="minor"/>
      </rPr>
      <t>,</t>
    </r>
    <r>
      <rPr>
        <sz val="11"/>
        <color rgb="FF508698"/>
        <rFont val="メイリオ"/>
        <family val="2"/>
        <charset val="128"/>
        <scheme val="minor"/>
      </rPr>
      <t>はがね</t>
    </r>
  </si>
  <si>
    <r>
      <t>ひこう</t>
    </r>
    <r>
      <rPr>
        <sz val="11"/>
        <color theme="1"/>
        <rFont val="メイリオ"/>
        <family val="2"/>
        <charset val="128"/>
        <scheme val="minor"/>
      </rPr>
      <t>,</t>
    </r>
    <r>
      <rPr>
        <sz val="11"/>
        <color rgb="FFFF9D54"/>
        <rFont val="メイリオ"/>
        <family val="2"/>
        <charset val="128"/>
        <scheme val="minor"/>
      </rPr>
      <t>ほのお</t>
    </r>
  </si>
  <si>
    <r>
      <t>ひこう</t>
    </r>
    <r>
      <rPr>
        <sz val="11"/>
        <color theme="1"/>
        <rFont val="メイリオ"/>
        <family val="2"/>
        <charset val="128"/>
        <scheme val="minor"/>
      </rPr>
      <t>,</t>
    </r>
    <r>
      <rPr>
        <sz val="11"/>
        <color rgb="FF4F90D1"/>
        <rFont val="メイリオ"/>
        <family val="2"/>
        <charset val="128"/>
        <scheme val="minor"/>
      </rPr>
      <t>みず</t>
    </r>
  </si>
  <si>
    <r>
      <t>ひこう</t>
    </r>
    <r>
      <rPr>
        <sz val="11"/>
        <color theme="1"/>
        <rFont val="メイリオ"/>
        <family val="2"/>
        <charset val="128"/>
        <scheme val="minor"/>
      </rPr>
      <t>,</t>
    </r>
    <r>
      <rPr>
        <sz val="11"/>
        <color rgb="FFF3D23F"/>
        <rFont val="メイリオ"/>
        <family val="2"/>
        <charset val="128"/>
        <scheme val="minor"/>
      </rPr>
      <t>でんき</t>
    </r>
  </si>
  <si>
    <r>
      <t>ひこう</t>
    </r>
    <r>
      <rPr>
        <sz val="11"/>
        <color theme="1"/>
        <rFont val="メイリオ"/>
        <family val="2"/>
        <charset val="128"/>
        <scheme val="minor"/>
      </rPr>
      <t>,</t>
    </r>
    <r>
      <rPr>
        <sz val="11"/>
        <color rgb="FF5EB654"/>
        <rFont val="メイリオ"/>
        <family val="2"/>
        <charset val="128"/>
        <scheme val="minor"/>
      </rPr>
      <t>くさ</t>
    </r>
  </si>
  <si>
    <r>
      <t>ひこう</t>
    </r>
    <r>
      <rPr>
        <sz val="11"/>
        <color theme="1"/>
        <rFont val="メイリオ"/>
        <family val="2"/>
        <charset val="128"/>
        <scheme val="minor"/>
      </rPr>
      <t>,</t>
    </r>
    <r>
      <rPr>
        <sz val="11"/>
        <color rgb="FF71C7BA"/>
        <rFont val="メイリオ"/>
        <family val="2"/>
        <charset val="128"/>
        <scheme val="minor"/>
      </rPr>
      <t>こおり</t>
    </r>
  </si>
  <si>
    <r>
      <t>ひこう</t>
    </r>
    <r>
      <rPr>
        <sz val="11"/>
        <color theme="1"/>
        <rFont val="メイリオ"/>
        <family val="2"/>
        <charset val="128"/>
        <scheme val="minor"/>
      </rPr>
      <t>,</t>
    </r>
    <r>
      <rPr>
        <sz val="11"/>
        <color rgb="FFF86E73"/>
        <rFont val="メイリオ"/>
        <family val="2"/>
        <charset val="128"/>
        <scheme val="minor"/>
      </rPr>
      <t>エスパー</t>
    </r>
  </si>
  <si>
    <r>
      <t>ひこう</t>
    </r>
    <r>
      <rPr>
        <sz val="11"/>
        <color theme="1"/>
        <rFont val="メイリオ"/>
        <family val="2"/>
        <charset val="128"/>
        <scheme val="minor"/>
      </rPr>
      <t>,</t>
    </r>
    <r>
      <rPr>
        <sz val="11"/>
        <color rgb="FF0B68B9"/>
        <rFont val="メイリオ"/>
        <family val="2"/>
        <charset val="128"/>
        <scheme val="minor"/>
      </rPr>
      <t>ドラゴン</t>
    </r>
  </si>
  <si>
    <r>
      <t>ひこう</t>
    </r>
    <r>
      <rPr>
        <sz val="11"/>
        <color theme="1"/>
        <rFont val="メイリオ"/>
        <family val="2"/>
        <charset val="128"/>
        <scheme val="minor"/>
      </rPr>
      <t>,</t>
    </r>
    <r>
      <rPr>
        <sz val="11"/>
        <color rgb="FF585365"/>
        <rFont val="メイリオ"/>
        <family val="2"/>
        <charset val="128"/>
        <scheme val="minor"/>
      </rPr>
      <t>あく</t>
    </r>
  </si>
  <si>
    <r>
      <t>ひこう</t>
    </r>
    <r>
      <rPr>
        <sz val="11"/>
        <color theme="1"/>
        <rFont val="メイリオ"/>
        <family val="2"/>
        <charset val="128"/>
        <scheme val="minor"/>
      </rPr>
      <t>,</t>
    </r>
    <r>
      <rPr>
        <sz val="11"/>
        <color rgb="FFEC90E2"/>
        <rFont val="メイリオ"/>
        <family val="2"/>
        <charset val="128"/>
        <scheme val="minor"/>
      </rPr>
      <t>フェアリー</t>
    </r>
  </si>
  <si>
    <r>
      <t>むし</t>
    </r>
    <r>
      <rPr>
        <sz val="11"/>
        <color theme="1"/>
        <rFont val="メイリオ"/>
        <family val="2"/>
        <charset val="128"/>
        <scheme val="minor"/>
      </rPr>
      <t>,</t>
    </r>
    <r>
      <rPr>
        <sz val="11"/>
        <color rgb="FFC4B589"/>
        <rFont val="メイリオ"/>
        <family val="2"/>
        <charset val="128"/>
        <scheme val="minor"/>
      </rPr>
      <t>いわ</t>
    </r>
  </si>
  <si>
    <r>
      <t>むし</t>
    </r>
    <r>
      <rPr>
        <sz val="11"/>
        <color theme="1"/>
        <rFont val="メイリオ"/>
        <family val="2"/>
        <charset val="128"/>
        <scheme val="minor"/>
      </rPr>
      <t>,</t>
    </r>
    <r>
      <rPr>
        <sz val="11"/>
        <color rgb="FF5367A9"/>
        <rFont val="メイリオ"/>
        <family val="2"/>
        <charset val="128"/>
        <scheme val="minor"/>
      </rPr>
      <t>ゴースト</t>
    </r>
  </si>
  <si>
    <r>
      <t>むし</t>
    </r>
    <r>
      <rPr>
        <sz val="11"/>
        <color theme="1"/>
        <rFont val="メイリオ"/>
        <family val="2"/>
        <charset val="128"/>
        <scheme val="minor"/>
      </rPr>
      <t>,</t>
    </r>
    <r>
      <rPr>
        <sz val="11"/>
        <color rgb="FF508698"/>
        <rFont val="メイリオ"/>
        <family val="2"/>
        <charset val="128"/>
        <scheme val="minor"/>
      </rPr>
      <t>はがね</t>
    </r>
  </si>
  <si>
    <r>
      <t>むし</t>
    </r>
    <r>
      <rPr>
        <sz val="11"/>
        <color theme="1"/>
        <rFont val="メイリオ"/>
        <family val="2"/>
        <charset val="128"/>
        <scheme val="minor"/>
      </rPr>
      <t>,</t>
    </r>
    <r>
      <rPr>
        <sz val="11"/>
        <color rgb="FF4F90D1"/>
        <rFont val="メイリオ"/>
        <family val="2"/>
        <charset val="128"/>
        <scheme val="minor"/>
      </rPr>
      <t>みず</t>
    </r>
  </si>
  <si>
    <r>
      <t>むし</t>
    </r>
    <r>
      <rPr>
        <sz val="11"/>
        <color theme="1"/>
        <rFont val="メイリオ"/>
        <family val="2"/>
        <charset val="128"/>
        <scheme val="minor"/>
      </rPr>
      <t>,</t>
    </r>
    <r>
      <rPr>
        <sz val="11"/>
        <color rgb="FF5EB654"/>
        <rFont val="メイリオ"/>
        <family val="2"/>
        <charset val="128"/>
        <scheme val="minor"/>
      </rPr>
      <t>くさ</t>
    </r>
  </si>
  <si>
    <r>
      <t>いわ</t>
    </r>
    <r>
      <rPr>
        <sz val="11"/>
        <color theme="1"/>
        <rFont val="メイリオ"/>
        <family val="2"/>
        <charset val="128"/>
        <scheme val="minor"/>
      </rPr>
      <t>,</t>
    </r>
    <r>
      <rPr>
        <sz val="11"/>
        <color rgb="FF508698"/>
        <rFont val="メイリオ"/>
        <family val="2"/>
        <charset val="128"/>
        <scheme val="minor"/>
      </rPr>
      <t>はがね</t>
    </r>
  </si>
  <si>
    <r>
      <t>いわ</t>
    </r>
    <r>
      <rPr>
        <sz val="11"/>
        <color theme="1"/>
        <rFont val="メイリオ"/>
        <family val="2"/>
        <charset val="128"/>
        <scheme val="minor"/>
      </rPr>
      <t>,</t>
    </r>
    <r>
      <rPr>
        <sz val="11"/>
        <color rgb="FFFF9D54"/>
        <rFont val="メイリオ"/>
        <family val="2"/>
        <charset val="128"/>
        <scheme val="minor"/>
      </rPr>
      <t>ほのお</t>
    </r>
  </si>
  <si>
    <r>
      <t>いわ</t>
    </r>
    <r>
      <rPr>
        <sz val="11"/>
        <color theme="1"/>
        <rFont val="メイリオ"/>
        <family val="2"/>
        <charset val="128"/>
        <scheme val="minor"/>
      </rPr>
      <t>,</t>
    </r>
    <r>
      <rPr>
        <sz val="11"/>
        <color rgb="FF4F90D1"/>
        <rFont val="メイリオ"/>
        <family val="2"/>
        <charset val="128"/>
        <scheme val="minor"/>
      </rPr>
      <t>みず</t>
    </r>
  </si>
  <si>
    <r>
      <t>いわ</t>
    </r>
    <r>
      <rPr>
        <sz val="11"/>
        <color theme="1"/>
        <rFont val="メイリオ"/>
        <family val="2"/>
        <charset val="128"/>
        <scheme val="minor"/>
      </rPr>
      <t>,</t>
    </r>
    <r>
      <rPr>
        <sz val="11"/>
        <color rgb="FFF3D23F"/>
        <rFont val="メイリオ"/>
        <family val="2"/>
        <charset val="128"/>
        <scheme val="minor"/>
      </rPr>
      <t>でんき</t>
    </r>
  </si>
  <si>
    <r>
      <t>いわ</t>
    </r>
    <r>
      <rPr>
        <sz val="11"/>
        <color theme="1"/>
        <rFont val="メイリオ"/>
        <family val="2"/>
        <charset val="128"/>
        <scheme val="minor"/>
      </rPr>
      <t>,</t>
    </r>
    <r>
      <rPr>
        <sz val="11"/>
        <color rgb="FF5EB654"/>
        <rFont val="メイリオ"/>
        <family val="2"/>
        <charset val="128"/>
        <scheme val="minor"/>
      </rPr>
      <t>くさ</t>
    </r>
  </si>
  <si>
    <r>
      <t>いわ</t>
    </r>
    <r>
      <rPr>
        <sz val="11"/>
        <color theme="1"/>
        <rFont val="メイリオ"/>
        <family val="2"/>
        <charset val="128"/>
        <scheme val="minor"/>
      </rPr>
      <t>,</t>
    </r>
    <r>
      <rPr>
        <sz val="11"/>
        <color rgb="FFF86E73"/>
        <rFont val="メイリオ"/>
        <family val="2"/>
        <charset val="128"/>
        <scheme val="minor"/>
      </rPr>
      <t>エスパー</t>
    </r>
  </si>
  <si>
    <r>
      <t>いわ</t>
    </r>
    <r>
      <rPr>
        <sz val="11"/>
        <color theme="1"/>
        <rFont val="メイリオ"/>
        <family val="2"/>
        <charset val="128"/>
        <scheme val="minor"/>
      </rPr>
      <t>,</t>
    </r>
    <r>
      <rPr>
        <sz val="11"/>
        <color rgb="FF585365"/>
        <rFont val="メイリオ"/>
        <family val="2"/>
        <charset val="128"/>
        <scheme val="minor"/>
      </rPr>
      <t>あく</t>
    </r>
  </si>
  <si>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</si>
  <si>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</si>
  <si>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</si>
  <si>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</si>
  <si>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</si>
  <si>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</si>
  <si>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</si>
  <si>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</si>
  <si>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</si>
  <si>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</si>
  <si>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</si>
  <si>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</si>
  <si>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</si>
  <si>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</si>
  <si>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</si>
  <si>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</si>
  <si>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</si>
  <si>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</si>
  <si>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</si>
  <si>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</si>
  <si>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</si>
  <si>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</si>
  <si>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</si>
  <si>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</si>
  <si>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</si>
  <si>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</si>
  <si>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</si>
  <si>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</si>
  <si>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</si>
  <si>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</si>
  <si>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</si>
  <si>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</si>
  <si>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</si>
  <si>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</si>
  <si>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</si>
  <si>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</si>
  <si>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か</t>
  </si>
  <si>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</si>
  <si>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C4B589"/>
        <rFont val="メイリオ"/>
        <family val="2"/>
        <charset val="128"/>
        <scheme val="minor"/>
      </rPr>
      <t>い</t>
    </r>
    <r>
      <rPr>
        <sz val="11"/>
        <color rgb="FF585365"/>
        <rFont val="メイリオ"/>
        <family val="2"/>
        <charset val="128"/>
        <scheme val="minor"/>
      </rPr>
      <t>あ</t>
    </r>
  </si>
  <si>
    <r>
      <t>じ</t>
    </r>
    <r>
      <rPr>
        <sz val="11"/>
        <color rgb="FFF86E73"/>
        <rFont val="メイリオ"/>
        <family val="2"/>
        <charset val="128"/>
        <scheme val="minor"/>
      </rPr>
      <t>エ</t>
    </r>
  </si>
  <si>
    <r>
      <t>ど</t>
    </r>
    <r>
      <rPr>
        <sz val="11"/>
        <color rgb="FFC4B589"/>
        <rFont val="メイリオ"/>
        <family val="2"/>
        <charset val="128"/>
        <scheme val="minor"/>
      </rPr>
      <t>い</t>
    </r>
  </si>
  <si>
    <r>
      <t>い</t>
    </r>
    <r>
      <rPr>
        <sz val="11"/>
        <color rgb="FFF3D23F"/>
        <rFont val="メイリオ"/>
        <family val="2"/>
        <charset val="128"/>
        <scheme val="minor"/>
      </rPr>
      <t>で</t>
    </r>
    <r>
      <rPr>
        <sz val="11"/>
        <color rgb="FF71C7BA"/>
        <rFont val="メイリオ"/>
        <family val="2"/>
        <charset val="128"/>
        <scheme val="minor"/>
      </rPr>
      <t>こ</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</si>
  <si>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</si>
  <si>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5EB654"/>
        <rFont val="メイリオ"/>
        <family val="2"/>
        <charset val="128"/>
        <scheme val="minor"/>
      </rPr>
      <t>く</t>
    </r>
  </si>
  <si>
    <r>
      <t>じ</t>
    </r>
    <r>
      <rPr>
        <sz val="11"/>
        <color rgb="FF5367A9"/>
        <rFont val="メイリオ"/>
        <family val="2"/>
        <charset val="128"/>
        <scheme val="minor"/>
      </rPr>
      <t>ゴ</t>
    </r>
  </si>
  <si>
    <r>
      <t>ひ</t>
    </r>
    <r>
      <rPr>
        <sz val="11"/>
        <color rgb="FFC4B589"/>
        <rFont val="メイリオ"/>
        <family val="2"/>
        <charset val="128"/>
        <scheme val="minor"/>
      </rPr>
      <t>い</t>
    </r>
    <r>
      <rPr>
        <sz val="11"/>
        <color rgb="FFFF9D54"/>
        <rFont val="メイリオ"/>
        <family val="2"/>
        <charset val="128"/>
        <scheme val="minor"/>
      </rPr>
      <t>ほ</t>
    </r>
  </si>
  <si>
    <r>
      <t>じ</t>
    </r>
    <r>
      <rPr>
        <sz val="11"/>
        <color rgb="FF5EB654"/>
        <rFont val="メイリオ"/>
        <family val="2"/>
        <charset val="128"/>
        <scheme val="minor"/>
      </rPr>
      <t>く</t>
    </r>
  </si>
  <si>
    <r>
      <t>ノ</t>
    </r>
    <r>
      <rPr>
        <sz val="11"/>
        <color rgb="FFA364C3"/>
        <rFont val="メイリオ"/>
        <family val="2"/>
        <charset val="128"/>
        <scheme val="minor"/>
      </rPr>
      <t>ど</t>
    </r>
    <r>
      <rPr>
        <sz val="11"/>
        <color rgb="FF90AADE"/>
        <rFont val="メイリオ"/>
        <family val="2"/>
        <charset val="128"/>
        <scheme val="minor"/>
      </rPr>
      <t>ひ</t>
    </r>
    <r>
      <rPr>
        <sz val="11"/>
        <color rgb="FFFF9D54"/>
        <rFont val="メイリオ"/>
        <family val="2"/>
        <charset val="128"/>
        <scheme val="minor"/>
      </rPr>
      <t>ほ</t>
    </r>
  </si>
  <si>
    <r>
      <t>か</t>
    </r>
    <r>
      <rPr>
        <sz val="11"/>
        <color rgb="FFF3D23F"/>
        <rFont val="メイリオ"/>
        <family val="2"/>
        <charset val="128"/>
        <scheme val="minor"/>
      </rPr>
      <t>で</t>
    </r>
    <r>
      <rPr>
        <sz val="11"/>
        <color rgb="FF5EB654"/>
        <rFont val="メイリオ"/>
        <family val="2"/>
        <charset val="128"/>
        <scheme val="minor"/>
      </rPr>
      <t>く</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</si>
  <si>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</si>
  <si>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</si>
  <si>
    <r>
      <t>か</t>
    </r>
    <r>
      <rPr>
        <sz val="11"/>
        <color rgb="FFD47948"/>
        <rFont val="メイリオ"/>
        <family val="2"/>
        <charset val="128"/>
        <scheme val="minor"/>
      </rPr>
      <t>じ</t>
    </r>
  </si>
  <si>
    <t>こ</t>
  </si>
  <si>
    <r>
      <t>む</t>
    </r>
    <r>
      <rPr>
        <sz val="11"/>
        <color rgb="FF585365"/>
        <rFont val="メイリオ"/>
        <family val="2"/>
        <charset val="128"/>
        <scheme val="minor"/>
      </rPr>
      <t>あ</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</si>
  <si>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</si>
  <si>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ゴ</t>
    </r>
    <r>
      <rPr>
        <sz val="11"/>
        <color rgb="FFF86E73"/>
        <rFont val="メイリオ"/>
        <family val="2"/>
        <charset val="128"/>
        <scheme val="minor"/>
      </rPr>
      <t>エ</t>
    </r>
  </si>
  <si>
    <r>
      <t>む</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</si>
  <si>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</si>
  <si>
    <t>エ</t>
  </si>
  <si>
    <r>
      <t>ど</t>
    </r>
    <r>
      <rPr>
        <sz val="11"/>
        <color rgb="FF508698"/>
        <rFont val="メイリオ"/>
        <family val="2"/>
        <charset val="128"/>
        <scheme val="minor"/>
      </rPr>
      <t>は</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</si>
  <si>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EC90E2"/>
        <rFont val="メイリオ"/>
        <family val="2"/>
        <charset val="128"/>
        <scheme val="minor"/>
      </rPr>
      <t>フ</t>
    </r>
  </si>
  <si>
    <r>
      <t>ゴ</t>
    </r>
    <r>
      <rPr>
        <sz val="11"/>
        <color rgb="FF0B68B9"/>
        <rFont val="メイリオ"/>
        <family val="2"/>
        <charset val="128"/>
        <scheme val="minor"/>
      </rPr>
      <t>ド</t>
    </r>
  </si>
  <si>
    <r>
      <t>ひ</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</si>
  <si>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</si>
  <si>
    <r>
      <t>じ</t>
    </r>
    <r>
      <rPr>
        <sz val="11"/>
        <color rgb="FF90AADE"/>
        <rFont val="メイリオ"/>
        <family val="2"/>
        <charset val="128"/>
        <scheme val="minor"/>
      </rPr>
      <t>ひ</t>
    </r>
  </si>
  <si>
    <r>
      <t>ノ</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</si>
  <si>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か</t>
    </r>
    <r>
      <rPr>
        <sz val="11"/>
        <color rgb="FFA364C3"/>
        <rFont val="メイリオ"/>
        <family val="2"/>
        <charset val="128"/>
        <scheme val="minor"/>
      </rPr>
      <t>ど</t>
    </r>
    <r>
      <rPr>
        <sz val="11"/>
        <color rgb="FFC4B589"/>
        <rFont val="メイリオ"/>
        <family val="2"/>
        <charset val="128"/>
        <scheme val="minor"/>
      </rPr>
      <t>い</t>
    </r>
    <r>
      <rPr>
        <sz val="11"/>
        <color rgb="FF5EB654"/>
        <rFont val="メイリオ"/>
        <family val="2"/>
        <charset val="128"/>
        <scheme val="minor"/>
      </rPr>
      <t>く</t>
    </r>
    <r>
      <rPr>
        <sz val="11"/>
        <color rgb="FF585365"/>
        <rFont val="メイリオ"/>
        <family val="2"/>
        <charset val="128"/>
        <scheme val="minor"/>
      </rPr>
      <t>あ</t>
    </r>
  </si>
  <si>
    <r>
      <t>い</t>
    </r>
    <r>
      <rPr>
        <sz val="11"/>
        <color rgb="FFF3D23F"/>
        <rFont val="メイリオ"/>
        <family val="2"/>
        <charset val="128"/>
        <scheme val="minor"/>
      </rPr>
      <t>で</t>
    </r>
  </si>
  <si>
    <r>
      <t>ほ</t>
    </r>
    <r>
      <rPr>
        <sz val="11"/>
        <color rgb="FFF86E73"/>
        <rFont val="メイリオ"/>
        <family val="2"/>
        <charset val="128"/>
        <scheme val="minor"/>
      </rPr>
      <t>エ</t>
    </r>
    <r>
      <rPr>
        <sz val="11"/>
        <color rgb="FFEC90E2"/>
        <rFont val="メイリオ"/>
        <family val="2"/>
        <charset val="128"/>
        <scheme val="minor"/>
      </rPr>
      <t>フ</t>
    </r>
  </si>
  <si>
    <r>
      <t>ノ</t>
    </r>
    <r>
      <rPr>
        <sz val="11"/>
        <color rgb="FFA364C3"/>
        <rFont val="メイリオ"/>
        <family val="2"/>
        <charset val="128"/>
        <scheme val="minor"/>
      </rPr>
      <t>ど</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</si>
  <si>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か</t>
    </r>
    <r>
      <rPr>
        <sz val="11"/>
        <color rgb="FFD47948"/>
        <rFont val="メイリオ"/>
        <family val="2"/>
        <charset val="128"/>
        <scheme val="minor"/>
      </rPr>
      <t>じ</t>
    </r>
    <r>
      <rPr>
        <sz val="11"/>
        <color rgb="FF90BE2F"/>
        <rFont val="メイリオ"/>
        <family val="2"/>
        <charset val="128"/>
        <scheme val="minor"/>
      </rPr>
      <t>む</t>
    </r>
    <r>
      <rPr>
        <sz val="11"/>
        <color rgb="FF5EB654"/>
        <rFont val="メイリオ"/>
        <family val="2"/>
        <charset val="128"/>
        <scheme val="minor"/>
      </rPr>
      <t>く</t>
    </r>
    <r>
      <rPr>
        <sz val="11"/>
        <color rgb="FF585365"/>
        <rFont val="メイリオ"/>
        <family val="2"/>
        <charset val="128"/>
        <scheme val="minor"/>
      </rPr>
      <t>あ</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</si>
  <si>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EC90E2"/>
        <rFont val="メイリオ"/>
        <family val="2"/>
        <charset val="128"/>
        <scheme val="minor"/>
      </rPr>
      <t>フ</t>
    </r>
  </si>
  <si>
    <r>
      <t>ひ</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</si>
  <si>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ノ</t>
    </r>
    <r>
      <rPr>
        <sz val="11"/>
        <color rgb="FFA364C3"/>
        <rFont val="メイリオ"/>
        <family val="2"/>
        <charset val="128"/>
        <scheme val="minor"/>
      </rPr>
      <t>ど</t>
    </r>
    <r>
      <rPr>
        <sz val="11"/>
        <color rgb="FF90BE2F"/>
        <rFont val="メイリオ"/>
        <family val="2"/>
        <charset val="128"/>
        <scheme val="minor"/>
      </rPr>
      <t>む</t>
    </r>
    <r>
      <rPr>
        <sz val="11"/>
        <color rgb="FFC4B589"/>
        <rFont val="メイリオ"/>
        <family val="2"/>
        <charset val="128"/>
        <scheme val="minor"/>
      </rPr>
      <t>い</t>
    </r>
    <r>
      <rPr>
        <sz val="11"/>
        <color rgb="FFFF9D54"/>
        <rFont val="メイリオ"/>
        <family val="2"/>
        <charset val="128"/>
        <scheme val="minor"/>
      </rPr>
      <t>ほ</t>
    </r>
    <r>
      <rPr>
        <sz val="11"/>
        <color rgb="FF585365"/>
        <rFont val="メイリオ"/>
        <family val="2"/>
        <charset val="128"/>
        <scheme val="minor"/>
      </rPr>
      <t>あ</t>
    </r>
  </si>
  <si>
    <r>
      <t>か</t>
    </r>
    <r>
      <rPr>
        <sz val="11"/>
        <color rgb="FFD47948"/>
        <rFont val="メイリオ"/>
        <family val="2"/>
        <charset val="128"/>
        <scheme val="minor"/>
      </rPr>
      <t>じ</t>
    </r>
    <r>
      <rPr>
        <sz val="11"/>
        <color rgb="FFFF9D54"/>
        <rFont val="メイリオ"/>
        <family val="2"/>
        <charset val="128"/>
        <scheme val="minor"/>
      </rPr>
      <t>ほ</t>
    </r>
  </si>
  <si>
    <r>
      <t>ひ</t>
    </r>
    <r>
      <rPr>
        <sz val="11"/>
        <color rgb="FF5367A9"/>
        <rFont val="メイリオ"/>
        <family val="2"/>
        <charset val="128"/>
        <scheme val="minor"/>
      </rPr>
      <t>ゴ</t>
    </r>
    <r>
      <rPr>
        <sz val="11"/>
        <color rgb="FF4F90D1"/>
        <rFont val="メイリオ"/>
        <family val="2"/>
        <charset val="128"/>
        <scheme val="minor"/>
      </rPr>
      <t>み</t>
    </r>
    <r>
      <rPr>
        <sz val="11"/>
        <color rgb="FFF3D23F"/>
        <rFont val="メイリオ"/>
        <family val="2"/>
        <charset val="128"/>
        <scheme val="minor"/>
      </rPr>
      <t>で</t>
    </r>
    <r>
      <rPr>
        <sz val="11"/>
        <color rgb="FFF86E73"/>
        <rFont val="メイリオ"/>
        <family val="2"/>
        <charset val="128"/>
        <scheme val="minor"/>
      </rPr>
      <t>エ</t>
    </r>
    <r>
      <rPr>
        <sz val="11"/>
        <color rgb="FFEC90E2"/>
        <rFont val="メイリオ"/>
        <family val="2"/>
        <charset val="128"/>
        <scheme val="minor"/>
      </rPr>
      <t>フ</t>
    </r>
  </si>
  <si>
    <r>
      <t>ノ</t>
    </r>
    <r>
      <rPr>
        <sz val="11"/>
        <color rgb="FF508698"/>
        <rFont val="メイリオ"/>
        <family val="2"/>
        <charset val="128"/>
        <scheme val="minor"/>
      </rPr>
      <t>は</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</si>
  <si>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C4B589"/>
        <rFont val="メイリオ"/>
        <family val="2"/>
        <charset val="128"/>
        <scheme val="minor"/>
      </rPr>
      <t>い</t>
    </r>
  </si>
  <si>
    <r>
      <t>じ</t>
    </r>
    <r>
      <rPr>
        <sz val="11"/>
        <color rgb="FF90AADE"/>
        <rFont val="メイリオ"/>
        <family val="2"/>
        <charset val="128"/>
        <scheme val="minor"/>
      </rPr>
      <t>ひ</t>
    </r>
    <r>
      <rPr>
        <sz val="11"/>
        <color rgb="FF4F90D1"/>
        <rFont val="メイリオ"/>
        <family val="2"/>
        <charset val="128"/>
        <scheme val="minor"/>
      </rPr>
      <t>み</t>
    </r>
    <r>
      <rPr>
        <sz val="11"/>
        <color rgb="FFF86E73"/>
        <rFont val="メイリオ"/>
        <family val="2"/>
        <charset val="128"/>
        <scheme val="minor"/>
      </rPr>
      <t>エ</t>
    </r>
  </si>
  <si>
    <r>
      <t>ノ</t>
    </r>
    <r>
      <rPr>
        <sz val="11"/>
        <color rgb="FFCA4067"/>
        <rFont val="メイリオ"/>
        <family val="2"/>
        <charset val="128"/>
        <scheme val="minor"/>
      </rPr>
      <t>か</t>
    </r>
    <r>
      <rPr>
        <sz val="11"/>
        <color rgb="FFA364C3"/>
        <rFont val="メイリオ"/>
        <family val="2"/>
        <charset val="128"/>
        <scheme val="minor"/>
      </rPr>
      <t>ど</t>
    </r>
    <r>
      <rPr>
        <sz val="11"/>
        <color rgb="FFC4B589"/>
        <rFont val="メイリオ"/>
        <family val="2"/>
        <charset val="128"/>
        <scheme val="minor"/>
      </rPr>
      <t>い</t>
    </r>
    <r>
      <rPr>
        <sz val="11"/>
        <color rgb="FF5367A9"/>
        <rFont val="メイリオ"/>
        <family val="2"/>
        <charset val="128"/>
        <scheme val="minor"/>
      </rPr>
      <t>ゴ</t>
    </r>
    <r>
      <rPr>
        <sz val="11"/>
        <color rgb="FFF3D23F"/>
        <rFont val="メイリオ"/>
        <family val="2"/>
        <charset val="128"/>
        <scheme val="minor"/>
      </rPr>
      <t>で</t>
    </r>
    <r>
      <rPr>
        <sz val="11"/>
        <color rgb="FF0B68B9"/>
        <rFont val="メイリオ"/>
        <family val="2"/>
        <charset val="128"/>
        <scheme val="minor"/>
      </rPr>
      <t>ド</t>
    </r>
    <r>
      <rPr>
        <sz val="11"/>
        <color rgb="FFEC90E2"/>
        <rFont val="メイリオ"/>
        <family val="2"/>
        <charset val="128"/>
        <scheme val="minor"/>
      </rPr>
      <t>フ</t>
    </r>
  </si>
  <si>
    <r>
      <t>は</t>
    </r>
    <r>
      <rPr>
        <sz val="11"/>
        <color rgb="FFFF9D54"/>
        <rFont val="メイリオ"/>
        <family val="2"/>
        <charset val="128"/>
        <scheme val="minor"/>
      </rPr>
      <t>ほ</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</si>
  <si>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ひ</t>
    </r>
    <r>
      <rPr>
        <sz val="11"/>
        <color rgb="FFF3D23F"/>
        <rFont val="メイリオ"/>
        <family val="2"/>
        <charset val="128"/>
        <scheme val="minor"/>
      </rPr>
      <t>で</t>
    </r>
    <r>
      <rPr>
        <sz val="11"/>
        <color rgb="FF5EB654"/>
        <rFont val="メイリオ"/>
        <family val="2"/>
        <charset val="128"/>
        <scheme val="minor"/>
      </rPr>
      <t>く</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</si>
  <si>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5367A9"/>
        <rFont val="メイリオ"/>
        <family val="2"/>
        <charset val="128"/>
        <scheme val="minor"/>
      </rPr>
      <t>ゴ</t>
    </r>
    <r>
      <rPr>
        <sz val="11"/>
        <color rgb="FF0B68B9"/>
        <rFont val="メイリオ"/>
        <family val="2"/>
        <charset val="128"/>
        <scheme val="minor"/>
      </rPr>
      <t>ド</t>
    </r>
  </si>
  <si>
    <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r>
      <rPr>
        <sz val="11"/>
        <color rgb="FF585365"/>
        <rFont val="メイリオ"/>
        <family val="2"/>
        <charset val="128"/>
        <scheme val="minor"/>
      </rPr>
      <t>あ</t>
    </r>
  </si>
  <si>
    <r>
      <t>ど</t>
    </r>
    <r>
      <rPr>
        <sz val="11"/>
        <color rgb="FFFF9D54"/>
        <rFont val="メイリオ"/>
        <family val="2"/>
        <charset val="128"/>
        <scheme val="minor"/>
      </rPr>
      <t>ほ</t>
    </r>
    <r>
      <rPr>
        <sz val="11"/>
        <color rgb="FF71C7BA"/>
        <rFont val="メイリオ"/>
        <family val="2"/>
        <charset val="128"/>
        <scheme val="minor"/>
      </rPr>
      <t>こ</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</si>
  <si>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0B68B9"/>
        <rFont val="メイリオ"/>
        <family val="2"/>
        <charset val="128"/>
        <scheme val="minor"/>
      </rPr>
      <t>ド</t>
    </r>
  </si>
  <si>
    <r>
      <t>じ</t>
    </r>
    <r>
      <rPr>
        <sz val="11"/>
        <color rgb="FFC4B589"/>
        <rFont val="メイリオ"/>
        <family val="2"/>
        <charset val="128"/>
        <scheme val="minor"/>
      </rPr>
      <t>い</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585365"/>
        <rFont val="メイリオ"/>
        <family val="2"/>
        <charset val="128"/>
        <scheme val="minor"/>
      </rPr>
      <t>あ</t>
    </r>
  </si>
  <si>
    <r>
      <t>ひ</t>
    </r>
    <r>
      <rPr>
        <sz val="11"/>
        <color rgb="FF5367A9"/>
        <rFont val="メイリオ"/>
        <family val="2"/>
        <charset val="128"/>
        <scheme val="minor"/>
      </rPr>
      <t>ゴ</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</si>
  <si>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</si>
  <si>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か</t>
    </r>
    <r>
      <rPr>
        <sz val="11"/>
        <color rgb="FFC4B589"/>
        <rFont val="メイリオ"/>
        <family val="2"/>
        <charset val="128"/>
        <scheme val="minor"/>
      </rPr>
      <t>い</t>
    </r>
  </si>
  <si>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</si>
  <si>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か</t>
    </r>
    <r>
      <rPr>
        <sz val="11"/>
        <color rgb="FFA364C3"/>
        <rFont val="メイリオ"/>
        <family val="2"/>
        <charset val="128"/>
        <scheme val="minor"/>
      </rPr>
      <t>ど</t>
    </r>
    <r>
      <rPr>
        <sz val="11"/>
        <color rgb="FF90BE2F"/>
        <rFont val="メイリオ"/>
        <family val="2"/>
        <charset val="128"/>
        <scheme val="minor"/>
      </rPr>
      <t>む</t>
    </r>
    <r>
      <rPr>
        <sz val="11"/>
        <color rgb="FF5EB654"/>
        <rFont val="メイリオ"/>
        <family val="2"/>
        <charset val="128"/>
        <scheme val="minor"/>
      </rPr>
      <t>く</t>
    </r>
    <r>
      <rPr>
        <sz val="11"/>
        <color rgb="FFEC90E2"/>
        <rFont val="メイリオ"/>
        <family val="2"/>
        <charset val="128"/>
        <scheme val="minor"/>
      </rPr>
      <t>フ</t>
    </r>
  </si>
  <si>
    <r>
      <t>じ</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</si>
  <si>
    <r>
      <t>ノ</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5EB654"/>
        <rFont val="メイリオ"/>
        <family val="2"/>
        <charset val="128"/>
        <scheme val="minor"/>
      </rPr>
      <t>く</t>
    </r>
    <r>
      <rPr>
        <sz val="11"/>
        <color rgb="FF0B68B9"/>
        <rFont val="メイリオ"/>
        <family val="2"/>
        <charset val="128"/>
        <scheme val="minor"/>
      </rPr>
      <t>ド</t>
    </r>
    <r>
      <rPr>
        <sz val="11"/>
        <color rgb="FF585365"/>
        <rFont val="メイリオ"/>
        <family val="2"/>
        <charset val="128"/>
        <scheme val="minor"/>
      </rPr>
      <t>あ</t>
    </r>
  </si>
  <si>
    <r>
      <t>か</t>
    </r>
    <r>
      <rPr>
        <sz val="11"/>
        <color rgb="FF90BE2F"/>
        <rFont val="メイリオ"/>
        <family val="2"/>
        <charset val="128"/>
        <scheme val="minor"/>
      </rPr>
      <t>む</t>
    </r>
    <r>
      <rPr>
        <sz val="11"/>
        <color rgb="FFC4B589"/>
        <rFont val="メイリオ"/>
        <family val="2"/>
        <charset val="128"/>
        <scheme val="minor"/>
      </rPr>
      <t>い</t>
    </r>
    <r>
      <rPr>
        <sz val="11"/>
        <color rgb="FFEC90E2"/>
        <rFont val="メイリオ"/>
        <family val="2"/>
        <charset val="128"/>
        <scheme val="minor"/>
      </rPr>
      <t>フ</t>
    </r>
  </si>
  <si>
    <r>
      <t>ど</t>
    </r>
    <r>
      <rPr>
        <sz val="11"/>
        <color rgb="FFF3D23F"/>
        <rFont val="メイリオ"/>
        <family val="2"/>
        <charset val="128"/>
        <scheme val="minor"/>
      </rPr>
      <t>で</t>
    </r>
  </si>
  <si>
    <r>
      <t>い</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</si>
  <si>
    <r>
      <t>ノ</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r>
      <rPr>
        <sz val="11"/>
        <color rgb="FF585365"/>
        <rFont val="メイリオ"/>
        <family val="2"/>
        <charset val="128"/>
        <scheme val="minor"/>
      </rPr>
      <t>あ</t>
    </r>
  </si>
  <si>
    <r>
      <t>ど</t>
    </r>
    <r>
      <rPr>
        <sz val="11"/>
        <color rgb="FFD47948"/>
        <rFont val="メイリオ"/>
        <family val="2"/>
        <charset val="128"/>
        <scheme val="minor"/>
      </rPr>
      <t>じ</t>
    </r>
    <r>
      <rPr>
        <sz val="11"/>
        <color rgb="FFEC90E2"/>
        <rFont val="メイリオ"/>
        <family val="2"/>
        <charset val="128"/>
        <scheme val="minor"/>
      </rPr>
      <t>フ</t>
    </r>
  </si>
  <si>
    <r>
      <t>か</t>
    </r>
    <r>
      <rPr>
        <sz val="11"/>
        <color rgb="FF90BE2F"/>
        <rFont val="メイリオ"/>
        <family val="2"/>
        <charset val="128"/>
        <scheme val="minor"/>
      </rPr>
      <t>む</t>
    </r>
    <r>
      <rPr>
        <sz val="11"/>
        <color rgb="FF5EB654"/>
        <rFont val="メイリオ"/>
        <family val="2"/>
        <charset val="128"/>
        <scheme val="minor"/>
      </rPr>
      <t>く</t>
    </r>
  </si>
  <si>
    <r>
      <t>ひ</t>
    </r>
    <r>
      <rPr>
        <sz val="11"/>
        <color rgb="FFC4B589"/>
        <rFont val="メイリオ"/>
        <family val="2"/>
        <charset val="128"/>
        <scheme val="minor"/>
      </rPr>
      <t>い</t>
    </r>
    <r>
      <rPr>
        <sz val="11"/>
        <color rgb="FFFF9D54"/>
        <rFont val="メイリオ"/>
        <family val="2"/>
        <charset val="128"/>
        <scheme val="minor"/>
      </rPr>
      <t>ほ</t>
    </r>
    <r>
      <rPr>
        <sz val="11"/>
        <color rgb="FFF86E73"/>
        <rFont val="メイリオ"/>
        <family val="2"/>
        <charset val="128"/>
        <scheme val="minor"/>
      </rPr>
      <t>エ</t>
    </r>
  </si>
  <si>
    <r>
      <t>ノ</t>
    </r>
    <r>
      <rPr>
        <sz val="11"/>
        <color rgb="FFD47948"/>
        <rFont val="メイリオ"/>
        <family val="2"/>
        <charset val="128"/>
        <scheme val="minor"/>
      </rPr>
      <t>じ</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</si>
  <si>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EC90E2"/>
        <rFont val="メイリオ"/>
        <family val="2"/>
        <charset val="128"/>
        <scheme val="minor"/>
      </rPr>
      <t>フ</t>
    </r>
  </si>
  <si>
    <r>
      <t>か</t>
    </r>
    <r>
      <rPr>
        <sz val="11"/>
        <color rgb="FF5EB654"/>
        <rFont val="メイリオ"/>
        <family val="2"/>
        <charset val="128"/>
        <scheme val="minor"/>
      </rPr>
      <t>く</t>
    </r>
  </si>
  <si>
    <t>ど</t>
  </si>
  <si>
    <r>
      <t>じ</t>
    </r>
    <r>
      <rPr>
        <sz val="11"/>
        <color rgb="FF5367A9"/>
        <rFont val="メイリオ"/>
        <family val="2"/>
        <charset val="128"/>
        <scheme val="minor"/>
      </rPr>
      <t>ゴ</t>
    </r>
    <r>
      <rPr>
        <sz val="11"/>
        <color rgb="FFF86E73"/>
        <rFont val="メイリオ"/>
        <family val="2"/>
        <charset val="128"/>
        <scheme val="minor"/>
      </rPr>
      <t>エ</t>
    </r>
    <r>
      <rPr>
        <sz val="11"/>
        <color rgb="FF585365"/>
        <rFont val="メイリオ"/>
        <family val="2"/>
        <charset val="128"/>
        <scheme val="minor"/>
      </rPr>
      <t>あ</t>
    </r>
  </si>
  <si>
    <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</si>
  <si>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く</t>
    </r>
    <r>
      <rPr>
        <sz val="11"/>
        <color rgb="FFEC90E2"/>
        <rFont val="メイリオ"/>
        <family val="2"/>
        <charset val="128"/>
        <scheme val="minor"/>
      </rPr>
      <t>フ</t>
    </r>
  </si>
  <si>
    <r>
      <t>ノ</t>
    </r>
    <r>
      <rPr>
        <sz val="11"/>
        <color rgb="FFA364C3"/>
        <rFont val="メイリオ"/>
        <family val="2"/>
        <charset val="128"/>
        <scheme val="minor"/>
      </rPr>
      <t>ど</t>
    </r>
    <r>
      <rPr>
        <sz val="11"/>
        <color rgb="FF90BE2F"/>
        <rFont val="メイリオ"/>
        <family val="2"/>
        <charset val="128"/>
        <scheme val="minor"/>
      </rPr>
      <t>む</t>
    </r>
  </si>
  <si>
    <t>ほ</t>
  </si>
  <si>
    <r>
      <t>じ</t>
    </r>
    <r>
      <rPr>
        <sz val="11"/>
        <color rgb="FFF3D23F"/>
        <rFont val="メイリオ"/>
        <family val="2"/>
        <charset val="128"/>
        <scheme val="minor"/>
      </rPr>
      <t>で</t>
    </r>
    <r>
      <rPr>
        <sz val="11"/>
        <color rgb="FFF86E73"/>
        <rFont val="メイリオ"/>
        <family val="2"/>
        <charset val="128"/>
        <scheme val="minor"/>
      </rPr>
      <t>エ</t>
    </r>
  </si>
  <si>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EB654"/>
        <rFont val="メイリオ"/>
        <family val="2"/>
        <charset val="128"/>
        <scheme val="minor"/>
      </rPr>
      <t>く</t>
    </r>
    <r>
      <rPr>
        <sz val="11"/>
        <color rgb="FF0B68B9"/>
        <rFont val="メイリオ"/>
        <family val="2"/>
        <charset val="128"/>
        <scheme val="minor"/>
      </rPr>
      <t>ド</t>
    </r>
    <r>
      <rPr>
        <sz val="11"/>
        <color rgb="FF585365"/>
        <rFont val="メイリオ"/>
        <family val="2"/>
        <charset val="128"/>
        <scheme val="minor"/>
      </rPr>
      <t>あ</t>
    </r>
  </si>
  <si>
    <r>
      <t>か</t>
    </r>
    <r>
      <rPr>
        <sz val="11"/>
        <color rgb="FFA364C3"/>
        <rFont val="メイリオ"/>
        <family val="2"/>
        <charset val="128"/>
        <scheme val="minor"/>
      </rPr>
      <t>ど</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r>
      <rPr>
        <sz val="11"/>
        <color rgb="FFEC90E2"/>
        <rFont val="メイリオ"/>
        <family val="2"/>
        <charset val="128"/>
        <scheme val="minor"/>
      </rPr>
      <t>フ</t>
    </r>
  </si>
  <si>
    <r>
      <t>ひ</t>
    </r>
    <r>
      <rPr>
        <sz val="11"/>
        <color rgb="FFFF9D54"/>
        <rFont val="メイリオ"/>
        <family val="2"/>
        <charset val="128"/>
        <scheme val="minor"/>
      </rPr>
      <t>ほ</t>
    </r>
    <r>
      <rPr>
        <sz val="11"/>
        <color rgb="FF71C7BA"/>
        <rFont val="メイリオ"/>
        <family val="2"/>
        <charset val="128"/>
        <scheme val="minor"/>
      </rPr>
      <t>こ</t>
    </r>
    <r>
      <rPr>
        <sz val="11"/>
        <color rgb="FFF86E73"/>
        <rFont val="メイリオ"/>
        <family val="2"/>
        <charset val="128"/>
        <scheme val="minor"/>
      </rPr>
      <t>エ</t>
    </r>
  </si>
  <si>
    <r>
      <t>ノ</t>
    </r>
    <r>
      <rPr>
        <sz val="11"/>
        <color rgb="FFA364C3"/>
        <rFont val="メイリオ"/>
        <family val="2"/>
        <charset val="128"/>
        <scheme val="minor"/>
      </rPr>
      <t>ど</t>
    </r>
    <r>
      <rPr>
        <sz val="11"/>
        <color rgb="FFD47948"/>
        <rFont val="メイリオ"/>
        <family val="2"/>
        <charset val="128"/>
        <scheme val="minor"/>
      </rPr>
      <t>じ</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0B68B9"/>
        <rFont val="メイリオ"/>
        <family val="2"/>
        <charset val="128"/>
        <scheme val="minor"/>
      </rPr>
      <t>ド</t>
    </r>
    <r>
      <rPr>
        <sz val="11"/>
        <color rgb="FF585365"/>
        <rFont val="メイリオ"/>
        <family val="2"/>
        <charset val="128"/>
        <scheme val="minor"/>
      </rPr>
      <t>あ</t>
    </r>
  </si>
  <si>
    <r>
      <t>か</t>
    </r>
    <r>
      <rPr>
        <sz val="11"/>
        <color rgb="FF4F90D1"/>
        <rFont val="メイリオ"/>
        <family val="2"/>
        <charset val="128"/>
        <scheme val="minor"/>
      </rPr>
      <t>み</t>
    </r>
    <r>
      <rPr>
        <sz val="11"/>
        <color rgb="FFF3D23F"/>
        <rFont val="メイリオ"/>
        <family val="2"/>
        <charset val="128"/>
        <scheme val="minor"/>
      </rPr>
      <t>で</t>
    </r>
    <r>
      <rPr>
        <sz val="11"/>
        <color rgb="FFEC90E2"/>
        <rFont val="メイリオ"/>
        <family val="2"/>
        <charset val="128"/>
        <scheme val="minor"/>
      </rPr>
      <t>フ</t>
    </r>
  </si>
  <si>
    <t>く</t>
  </si>
  <si>
    <r>
      <t>ノ</t>
    </r>
    <r>
      <rPr>
        <sz val="11"/>
        <color rgb="FFCA4067"/>
        <rFont val="メイリオ"/>
        <family val="2"/>
        <charset val="128"/>
        <scheme val="minor"/>
      </rPr>
      <t>か</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</si>
  <si>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ど</t>
    </r>
    <r>
      <rPr>
        <sz val="11"/>
        <color rgb="FF5367A9"/>
        <rFont val="メイリオ"/>
        <family val="2"/>
        <charset val="128"/>
        <scheme val="minor"/>
      </rPr>
      <t>ゴ</t>
    </r>
    <r>
      <rPr>
        <sz val="11"/>
        <color rgb="FF5EB654"/>
        <rFont val="メイリオ"/>
        <family val="2"/>
        <charset val="128"/>
        <scheme val="minor"/>
      </rPr>
      <t>く</t>
    </r>
    <r>
      <rPr>
        <sz val="11"/>
        <color rgb="FFF86E73"/>
        <rFont val="メイリオ"/>
        <family val="2"/>
        <charset val="128"/>
        <scheme val="minor"/>
      </rPr>
      <t>エ</t>
    </r>
    <r>
      <rPr>
        <sz val="11"/>
        <color rgb="FF585365"/>
        <rFont val="メイリオ"/>
        <family val="2"/>
        <charset val="128"/>
        <scheme val="minor"/>
      </rPr>
      <t>あ</t>
    </r>
  </si>
  <si>
    <r>
      <t>じ</t>
    </r>
    <r>
      <rPr>
        <sz val="11"/>
        <color rgb="FF508698"/>
        <rFont val="メイリオ"/>
        <family val="2"/>
        <charset val="128"/>
        <scheme val="minor"/>
      </rPr>
      <t>は</t>
    </r>
    <r>
      <rPr>
        <sz val="11"/>
        <color rgb="FFF86E73"/>
        <rFont val="メイリオ"/>
        <family val="2"/>
        <charset val="128"/>
        <scheme val="minor"/>
      </rPr>
      <t>エ</t>
    </r>
  </si>
  <si>
    <r>
      <t>ノ</t>
    </r>
    <r>
      <rPr>
        <sz val="11"/>
        <color rgb="FFA364C3"/>
        <rFont val="メイリオ"/>
        <family val="2"/>
        <charset val="128"/>
        <scheme val="minor"/>
      </rPr>
      <t>ど</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</si>
  <si>
    <r>
      <t>く</t>
    </r>
    <r>
      <rPr>
        <sz val="11"/>
        <color rgb="FF585365"/>
        <rFont val="メイリオ"/>
        <family val="2"/>
        <charset val="128"/>
        <scheme val="minor"/>
      </rPr>
      <t>あ</t>
    </r>
    <r>
      <rPr>
        <sz val="11"/>
        <color rgb="FFEC90E2"/>
        <rFont val="メイリオ"/>
        <family val="2"/>
        <charset val="128"/>
        <scheme val="minor"/>
      </rPr>
      <t>フ</t>
    </r>
  </si>
  <si>
    <r>
      <t>か</t>
    </r>
    <r>
      <rPr>
        <sz val="11"/>
        <color rgb="FF90BE2F"/>
        <rFont val="メイリオ"/>
        <family val="2"/>
        <charset val="128"/>
        <scheme val="minor"/>
      </rPr>
      <t>む</t>
    </r>
    <r>
      <rPr>
        <sz val="11"/>
        <color rgb="FF0B68B9"/>
        <rFont val="メイリオ"/>
        <family val="2"/>
        <charset val="128"/>
        <scheme val="minor"/>
      </rPr>
      <t>ド</t>
    </r>
  </si>
  <si>
    <r>
      <t>み</t>
    </r>
    <r>
      <rPr>
        <sz val="11"/>
        <color rgb="FF5EB654"/>
        <rFont val="メイリオ"/>
        <family val="2"/>
        <charset val="128"/>
        <scheme val="minor"/>
      </rPr>
      <t>く</t>
    </r>
    <r>
      <rPr>
        <sz val="11"/>
        <color rgb="FF71C7BA"/>
        <rFont val="メイリオ"/>
        <family val="2"/>
        <charset val="128"/>
        <scheme val="minor"/>
      </rPr>
      <t>こ</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</si>
  <si>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</si>
  <si>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t>で</t>
  </si>
  <si>
    <t>み</t>
  </si>
  <si>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</si>
  <si>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A364C3"/>
        <rFont val="メイリオ"/>
        <family val="2"/>
        <charset val="128"/>
        <scheme val="minor"/>
      </rPr>
      <t>ど</t>
    </r>
    <r>
      <rPr>
        <sz val="11"/>
        <color rgb="FF90BE2F"/>
        <rFont val="メイリオ"/>
        <family val="2"/>
        <charset val="128"/>
        <scheme val="minor"/>
      </rPr>
      <t>む</t>
    </r>
    <r>
      <rPr>
        <sz val="11"/>
        <color rgb="FFF3D23F"/>
        <rFont val="メイリオ"/>
        <family val="2"/>
        <charset val="128"/>
        <scheme val="minor"/>
      </rPr>
      <t>で</t>
    </r>
  </si>
  <si>
    <r>
      <t>ひ</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</si>
  <si>
    <r>
      <t>ノ</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</si>
  <si>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A364C3"/>
        <rFont val="メイリオ"/>
        <family val="2"/>
        <charset val="128"/>
        <scheme val="minor"/>
      </rPr>
      <t>ど</t>
    </r>
    <r>
      <rPr>
        <sz val="11"/>
        <color rgb="FFD47948"/>
        <rFont val="メイリオ"/>
        <family val="2"/>
        <charset val="128"/>
        <scheme val="minor"/>
      </rPr>
      <t>じ</t>
    </r>
  </si>
  <si>
    <r>
      <t>み</t>
    </r>
    <r>
      <rPr>
        <sz val="11"/>
        <color rgb="FF5EB654"/>
        <rFont val="メイリオ"/>
        <family val="2"/>
        <charset val="128"/>
        <scheme val="minor"/>
      </rPr>
      <t>く</t>
    </r>
  </si>
  <si>
    <r>
      <t>か</t>
    </r>
    <r>
      <rPr>
        <sz val="11"/>
        <color rgb="FFD47948"/>
        <rFont val="メイリオ"/>
        <family val="2"/>
        <charset val="128"/>
        <scheme val="minor"/>
      </rPr>
      <t>じ</t>
    </r>
    <r>
      <rPr>
        <sz val="11"/>
        <color rgb="FF508698"/>
        <rFont val="メイリオ"/>
        <family val="2"/>
        <charset val="128"/>
        <scheme val="minor"/>
      </rPr>
      <t>は</t>
    </r>
    <r>
      <rPr>
        <sz val="11"/>
        <color rgb="FF71C7BA"/>
        <rFont val="メイリオ"/>
        <family val="2"/>
        <charset val="128"/>
        <scheme val="minor"/>
      </rPr>
      <t>こ</t>
    </r>
  </si>
  <si>
    <r>
      <t>む</t>
    </r>
    <r>
      <rPr>
        <sz val="11"/>
        <color rgb="FF5367A9"/>
        <rFont val="メイリオ"/>
        <family val="2"/>
        <charset val="128"/>
        <scheme val="minor"/>
      </rPr>
      <t>ゴ</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</si>
  <si>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</si>
  <si>
    <r>
      <t>ゴ</t>
    </r>
    <r>
      <rPr>
        <sz val="11"/>
        <color rgb="FF4F90D1"/>
        <rFont val="メイリオ"/>
        <family val="2"/>
        <charset val="128"/>
        <scheme val="minor"/>
      </rPr>
      <t>み</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</si>
  <si>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じ</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</si>
  <si>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む</t>
    </r>
    <r>
      <rPr>
        <sz val="11"/>
        <color rgb="FFC4B589"/>
        <rFont val="メイリオ"/>
        <family val="2"/>
        <charset val="128"/>
        <scheme val="minor"/>
      </rPr>
      <t>い</t>
    </r>
  </si>
  <si>
    <r>
      <t>ノ</t>
    </r>
    <r>
      <rPr>
        <sz val="11"/>
        <color rgb="FFCA4067"/>
        <rFont val="メイリオ"/>
        <family val="2"/>
        <charset val="128"/>
        <scheme val="minor"/>
      </rPr>
      <t>か</t>
    </r>
    <r>
      <rPr>
        <sz val="11"/>
        <color rgb="FFA364C3"/>
        <rFont val="メイリオ"/>
        <family val="2"/>
        <charset val="128"/>
        <scheme val="minor"/>
      </rPr>
      <t>ど</t>
    </r>
    <r>
      <rPr>
        <sz val="11"/>
        <color rgb="FFF3D23F"/>
        <rFont val="メイリオ"/>
        <family val="2"/>
        <charset val="128"/>
        <scheme val="minor"/>
      </rPr>
      <t>で</t>
    </r>
  </si>
  <si>
    <r>
      <t>か</t>
    </r>
    <r>
      <rPr>
        <sz val="11"/>
        <color rgb="FFD47948"/>
        <rFont val="メイリオ"/>
        <family val="2"/>
        <charset val="128"/>
        <scheme val="minor"/>
      </rPr>
      <t>じ</t>
    </r>
    <r>
      <rPr>
        <sz val="11"/>
        <color rgb="FFFF9D54"/>
        <rFont val="メイリオ"/>
        <family val="2"/>
        <charset val="128"/>
        <scheme val="minor"/>
      </rPr>
      <t>ほ</t>
    </r>
    <r>
      <rPr>
        <sz val="11"/>
        <color rgb="FF4F90D1"/>
        <rFont val="メイリオ"/>
        <family val="2"/>
        <charset val="128"/>
        <scheme val="minor"/>
      </rPr>
      <t>み</t>
    </r>
  </si>
  <si>
    <r>
      <t>ゴ</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</si>
  <si>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ノ</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</si>
  <si>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ノ</t>
    </r>
    <r>
      <rPr>
        <sz val="11"/>
        <color rgb="FFCA4067"/>
        <rFont val="メイリオ"/>
        <family val="2"/>
        <charset val="128"/>
        <scheme val="minor"/>
      </rPr>
      <t>か</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</si>
  <si>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EC90E2"/>
        <rFont val="メイリオ"/>
        <family val="2"/>
        <charset val="128"/>
        <scheme val="minor"/>
      </rPr>
      <t>フ</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</si>
  <si>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</si>
  <si>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ど</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F3D23F"/>
        <rFont val="メイリオ"/>
        <family val="2"/>
        <charset val="128"/>
        <scheme val="minor"/>
      </rPr>
      <t>で</t>
    </r>
  </si>
  <si>
    <r>
      <t>ひ</t>
    </r>
    <r>
      <rPr>
        <sz val="11"/>
        <color rgb="FF90BE2F"/>
        <rFont val="メイリオ"/>
        <family val="2"/>
        <charset val="128"/>
        <scheme val="minor"/>
      </rPr>
      <t>む</t>
    </r>
    <r>
      <rPr>
        <sz val="11"/>
        <color rgb="FFFF9D54"/>
        <rFont val="メイリオ"/>
        <family val="2"/>
        <charset val="128"/>
        <scheme val="minor"/>
      </rPr>
      <t>ほ</t>
    </r>
  </si>
  <si>
    <r>
      <t>ノ</t>
    </r>
    <r>
      <rPr>
        <sz val="11"/>
        <color rgb="FFCA4067"/>
        <rFont val="メイリオ"/>
        <family val="2"/>
        <charset val="128"/>
        <scheme val="minor"/>
      </rPr>
      <t>か</t>
    </r>
    <r>
      <rPr>
        <sz val="11"/>
        <color rgb="FFA364C3"/>
        <rFont val="メイリオ"/>
        <family val="2"/>
        <charset val="128"/>
        <scheme val="minor"/>
      </rPr>
      <t>ど</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</si>
  <si>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じ</t>
    </r>
    <r>
      <rPr>
        <sz val="11"/>
        <color rgb="FFC4B589"/>
        <rFont val="メイリオ"/>
        <family val="2"/>
        <charset val="128"/>
        <scheme val="minor"/>
      </rPr>
      <t>い</t>
    </r>
  </si>
  <si>
    <r>
      <t>か</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5EB654"/>
        <rFont val="メイリオ"/>
        <family val="2"/>
        <charset val="128"/>
        <scheme val="minor"/>
      </rPr>
      <t>く</t>
    </r>
  </si>
  <si>
    <r>
      <t>ノ</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</si>
  <si>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5367A9"/>
        <rFont val="メイリオ"/>
        <family val="2"/>
        <charset val="128"/>
        <scheme val="minor"/>
      </rPr>
      <t>ゴ</t>
    </r>
    <r>
      <rPr>
        <sz val="11"/>
        <color rgb="FF4F90D1"/>
        <rFont val="メイリオ"/>
        <family val="2"/>
        <charset val="128"/>
        <scheme val="minor"/>
      </rPr>
      <t>み</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</si>
  <si>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ノ</t>
    </r>
    <r>
      <rPr>
        <sz val="11"/>
        <color rgb="FFD47948"/>
        <rFont val="メイリオ"/>
        <family val="2"/>
        <charset val="128"/>
        <scheme val="minor"/>
      </rPr>
      <t>じ</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0B68B9"/>
        <rFont val="メイリオ"/>
        <family val="2"/>
        <charset val="128"/>
        <scheme val="minor"/>
      </rPr>
      <t>ド</t>
    </r>
    <r>
      <rPr>
        <sz val="11"/>
        <color rgb="FFEC90E2"/>
        <rFont val="メイリオ"/>
        <family val="2"/>
        <charset val="128"/>
        <scheme val="minor"/>
      </rPr>
      <t>フ</t>
    </r>
  </si>
  <si>
    <r>
      <t>か</t>
    </r>
    <r>
      <rPr>
        <sz val="11"/>
        <color rgb="FFA364C3"/>
        <rFont val="メイリオ"/>
        <family val="2"/>
        <charset val="128"/>
        <scheme val="minor"/>
      </rPr>
      <t>ど</t>
    </r>
    <r>
      <rPr>
        <sz val="11"/>
        <color rgb="FFC4B589"/>
        <rFont val="メイリオ"/>
        <family val="2"/>
        <charset val="128"/>
        <scheme val="minor"/>
      </rPr>
      <t>い</t>
    </r>
    <r>
      <rPr>
        <sz val="11"/>
        <color rgb="FFF86E73"/>
        <rFont val="メイリオ"/>
        <family val="2"/>
        <charset val="128"/>
        <scheme val="minor"/>
      </rPr>
      <t>エ</t>
    </r>
  </si>
  <si>
    <r>
      <t>ド</t>
    </r>
    <r>
      <rPr>
        <sz val="11"/>
        <color rgb="FFEC90E2"/>
        <rFont val="メイリオ"/>
        <family val="2"/>
        <charset val="128"/>
        <scheme val="minor"/>
      </rPr>
      <t>フ</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</si>
  <si>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585365"/>
        <rFont val="メイリオ"/>
        <family val="2"/>
        <charset val="128"/>
        <scheme val="minor"/>
      </rPr>
      <t>あ</t>
    </r>
  </si>
  <si>
    <r>
      <t>ど</t>
    </r>
    <r>
      <rPr>
        <sz val="11"/>
        <color rgb="FFC4B589"/>
        <rFont val="メイリオ"/>
        <family val="2"/>
        <charset val="128"/>
        <scheme val="minor"/>
      </rPr>
      <t>い</t>
    </r>
    <r>
      <rPr>
        <sz val="11"/>
        <color rgb="FFFF9D54"/>
        <rFont val="メイリオ"/>
        <family val="2"/>
        <charset val="128"/>
        <scheme val="minor"/>
      </rPr>
      <t>ほ</t>
    </r>
  </si>
  <si>
    <t>い</t>
  </si>
  <si>
    <r>
      <t>ひ</t>
    </r>
    <r>
      <rPr>
        <sz val="11"/>
        <color rgb="FFFF9D54"/>
        <rFont val="メイリオ"/>
        <family val="2"/>
        <charset val="128"/>
        <scheme val="minor"/>
      </rPr>
      <t>ほ</t>
    </r>
    <r>
      <rPr>
        <sz val="11"/>
        <color rgb="FFF3D23F"/>
        <rFont val="メイリオ"/>
        <family val="2"/>
        <charset val="128"/>
        <scheme val="minor"/>
      </rPr>
      <t>で</t>
    </r>
    <r>
      <rPr>
        <sz val="11"/>
        <color rgb="FF71C7BA"/>
        <rFont val="メイリオ"/>
        <family val="2"/>
        <charset val="128"/>
        <scheme val="minor"/>
      </rPr>
      <t>こ</t>
    </r>
  </si>
  <si>
    <r>
      <t>ノ</t>
    </r>
    <r>
      <rPr>
        <sz val="11"/>
        <color rgb="FFA364C3"/>
        <rFont val="メイリオ"/>
        <family val="2"/>
        <charset val="128"/>
        <scheme val="minor"/>
      </rPr>
      <t>ど</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</si>
  <si>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い</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</si>
  <si>
    <r>
      <t>か</t>
    </r>
    <r>
      <rPr>
        <sz val="11"/>
        <color rgb="FF5367A9"/>
        <rFont val="メイリオ"/>
        <family val="2"/>
        <charset val="128"/>
        <scheme val="minor"/>
      </rPr>
      <t>ゴ</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</si>
  <si>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FF9D54"/>
        <rFont val="メイリオ"/>
        <family val="2"/>
        <charset val="128"/>
        <scheme val="minor"/>
      </rPr>
      <t>ほ</t>
    </r>
  </si>
  <si>
    <r>
      <t>い</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585365"/>
        <rFont val="メイリオ"/>
        <family val="2"/>
        <charset val="128"/>
        <scheme val="minor"/>
      </rPr>
      <t>あ</t>
    </r>
  </si>
  <si>
    <r>
      <t>ひ</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</si>
  <si>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5EB654"/>
        <rFont val="メイリオ"/>
        <family val="2"/>
        <charset val="128"/>
        <scheme val="minor"/>
      </rPr>
      <t>く</t>
    </r>
  </si>
  <si>
    <r>
      <t>ノ</t>
    </r>
    <r>
      <rPr>
        <sz val="11"/>
        <color rgb="FFD47948"/>
        <rFont val="メイリオ"/>
        <family val="2"/>
        <charset val="128"/>
        <scheme val="minor"/>
      </rPr>
      <t>じ</t>
    </r>
    <r>
      <rPr>
        <sz val="11"/>
        <color rgb="FF90BE2F"/>
        <rFont val="メイリオ"/>
        <family val="2"/>
        <charset val="128"/>
        <scheme val="minor"/>
      </rPr>
      <t>む</t>
    </r>
  </si>
  <si>
    <r>
      <t>ほ</t>
    </r>
    <r>
      <rPr>
        <sz val="11"/>
        <color rgb="FFF3D23F"/>
        <rFont val="メイリオ"/>
        <family val="2"/>
        <charset val="128"/>
        <scheme val="minor"/>
      </rPr>
      <t>で</t>
    </r>
  </si>
  <si>
    <r>
      <t>か</t>
    </r>
    <r>
      <rPr>
        <sz val="11"/>
        <color rgb="FFC4B589"/>
        <rFont val="メイリオ"/>
        <family val="2"/>
        <charset val="128"/>
        <scheme val="minor"/>
      </rPr>
      <t>い</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585365"/>
        <rFont val="メイリオ"/>
        <family val="2"/>
        <charset val="128"/>
        <scheme val="minor"/>
      </rPr>
      <t>あ</t>
    </r>
  </si>
  <si>
    <r>
      <t>ノ</t>
    </r>
    <r>
      <rPr>
        <sz val="11"/>
        <color rgb="FFD47948"/>
        <rFont val="メイリオ"/>
        <family val="2"/>
        <charset val="128"/>
        <scheme val="minor"/>
      </rPr>
      <t>じ</t>
    </r>
    <r>
      <rPr>
        <sz val="11"/>
        <color rgb="FF90AADE"/>
        <rFont val="メイリオ"/>
        <family val="2"/>
        <charset val="128"/>
        <scheme val="minor"/>
      </rPr>
      <t>ひ</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</si>
  <si>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90BE2F"/>
        <rFont val="メイリオ"/>
        <family val="2"/>
        <charset val="128"/>
        <scheme val="minor"/>
      </rPr>
      <t>む</t>
    </r>
    <r>
      <rPr>
        <sz val="11"/>
        <color rgb="FF5EB654"/>
        <rFont val="メイリオ"/>
        <family val="2"/>
        <charset val="128"/>
        <scheme val="minor"/>
      </rPr>
      <t>く</t>
    </r>
  </si>
  <si>
    <r>
      <t>み</t>
    </r>
    <r>
      <rPr>
        <sz val="11"/>
        <color rgb="FFF3D23F"/>
        <rFont val="メイリオ"/>
        <family val="2"/>
        <charset val="128"/>
        <scheme val="minor"/>
      </rPr>
      <t>で</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</si>
  <si>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</si>
  <si>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か</t>
    </r>
    <r>
      <rPr>
        <sz val="11"/>
        <color rgb="FFD47948"/>
        <rFont val="メイリオ"/>
        <family val="2"/>
        <charset val="128"/>
        <scheme val="minor"/>
      </rPr>
      <t>じ</t>
    </r>
    <r>
      <rPr>
        <sz val="11"/>
        <color rgb="FF508698"/>
        <rFont val="メイリオ"/>
        <family val="2"/>
        <charset val="128"/>
        <scheme val="minor"/>
      </rPr>
      <t>は</t>
    </r>
    <r>
      <rPr>
        <sz val="11"/>
        <color rgb="FFFF9D54"/>
        <rFont val="メイリオ"/>
        <family val="2"/>
        <charset val="128"/>
        <scheme val="minor"/>
      </rPr>
      <t>ほ</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</si>
  <si>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</si>
  <si>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</si>
  <si>
    <r>
      <t>い</t>
    </r>
    <r>
      <rPr>
        <sz val="11"/>
        <color rgb="FF71C7BA"/>
        <rFont val="メイリオ"/>
        <family val="2"/>
        <charset val="128"/>
        <scheme val="minor"/>
      </rPr>
      <t>こ</t>
    </r>
  </si>
  <si>
    <r>
      <t>ノ</t>
    </r>
    <r>
      <rPr>
        <sz val="11"/>
        <color rgb="FFA364C3"/>
        <rFont val="メイリオ"/>
        <family val="2"/>
        <charset val="128"/>
        <scheme val="minor"/>
      </rPr>
      <t>ど</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</si>
  <si>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5EB654"/>
        <rFont val="メイリオ"/>
        <family val="2"/>
        <charset val="128"/>
        <scheme val="minor"/>
      </rPr>
      <t>く</t>
    </r>
  </si>
  <si>
    <r>
      <t>ど</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</si>
  <si>
    <r>
      <t>ノ</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F3D23F"/>
        <rFont val="メイリオ"/>
        <family val="2"/>
        <charset val="128"/>
        <scheme val="minor"/>
      </rPr>
      <t>で</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</si>
  <si>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4F90D1"/>
        <rFont val="メイリオ"/>
        <family val="2"/>
        <charset val="128"/>
        <scheme val="minor"/>
      </rPr>
      <t>み</t>
    </r>
  </si>
  <si>
    <r>
      <t>は</t>
    </r>
    <r>
      <rPr>
        <sz val="11"/>
        <color rgb="FFFF9D54"/>
        <rFont val="メイリオ"/>
        <family val="2"/>
        <charset val="128"/>
        <scheme val="minor"/>
      </rPr>
      <t>ほ</t>
    </r>
    <r>
      <rPr>
        <sz val="11"/>
        <color rgb="FFF3D23F"/>
        <rFont val="メイリオ"/>
        <family val="2"/>
        <charset val="128"/>
        <scheme val="minor"/>
      </rPr>
      <t>で</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</si>
  <si>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</si>
  <si>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r>
      <rPr>
        <sz val="11"/>
        <color rgb="FFEC90E2"/>
        <rFont val="メイリオ"/>
        <family val="2"/>
        <charset val="128"/>
        <scheme val="minor"/>
      </rPr>
      <t>フ</t>
    </r>
  </si>
  <si>
    <r>
      <t>く</t>
    </r>
    <r>
      <rPr>
        <sz val="11"/>
        <color rgb="FFF86E73"/>
        <rFont val="メイリオ"/>
        <family val="2"/>
        <charset val="128"/>
        <scheme val="minor"/>
      </rPr>
      <t>エ</t>
    </r>
  </si>
  <si>
    <r>
      <t>い</t>
    </r>
    <r>
      <rPr>
        <sz val="11"/>
        <color rgb="FF0B68B9"/>
        <rFont val="メイリオ"/>
        <family val="2"/>
        <charset val="128"/>
        <scheme val="minor"/>
      </rPr>
      <t>ド</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</si>
  <si>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3D23F"/>
        <rFont val="メイリオ"/>
        <family val="2"/>
        <charset val="128"/>
        <scheme val="minor"/>
      </rPr>
      <t>で</t>
    </r>
    <r>
      <rPr>
        <sz val="11"/>
        <color rgb="FFF86E73"/>
        <rFont val="メイリオ"/>
        <family val="2"/>
        <charset val="128"/>
        <scheme val="minor"/>
      </rPr>
      <t>エ</t>
    </r>
    <r>
      <rPr>
        <sz val="11"/>
        <color rgb="FF585365"/>
        <rFont val="メイリオ"/>
        <family val="2"/>
        <charset val="128"/>
        <scheme val="minor"/>
      </rPr>
      <t>あ</t>
    </r>
  </si>
  <si>
    <r>
      <t>か</t>
    </r>
    <r>
      <rPr>
        <sz val="11"/>
        <color rgb="FF90BE2F"/>
        <rFont val="メイリオ"/>
        <family val="2"/>
        <charset val="128"/>
        <scheme val="minor"/>
      </rPr>
      <t>む</t>
    </r>
    <r>
      <rPr>
        <sz val="11"/>
        <color rgb="FFFF9D54"/>
        <rFont val="メイリオ"/>
        <family val="2"/>
        <charset val="128"/>
        <scheme val="minor"/>
      </rPr>
      <t>ほ</t>
    </r>
    <r>
      <rPr>
        <sz val="11"/>
        <color rgb="FF4F90D1"/>
        <rFont val="メイリオ"/>
        <family val="2"/>
        <charset val="128"/>
        <scheme val="minor"/>
      </rPr>
      <t>み</t>
    </r>
  </si>
  <si>
    <r>
      <t>い</t>
    </r>
    <r>
      <rPr>
        <sz val="11"/>
        <color rgb="FFF3D23F"/>
        <rFont val="メイリオ"/>
        <family val="2"/>
        <charset val="128"/>
        <scheme val="minor"/>
      </rPr>
      <t>で</t>
    </r>
    <r>
      <rPr>
        <sz val="11"/>
        <color rgb="FF71C7BA"/>
        <rFont val="メイリオ"/>
        <family val="2"/>
        <charset val="128"/>
        <scheme val="minor"/>
      </rPr>
      <t>こ</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</si>
  <si>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</si>
  <si>
    <r>
      <t>ゴ</t>
    </r>
    <r>
      <rPr>
        <sz val="11"/>
        <color rgb="FF5EB654"/>
        <rFont val="メイリオ"/>
        <family val="2"/>
        <charset val="128"/>
        <scheme val="minor"/>
      </rPr>
      <t>く</t>
    </r>
    <r>
      <rPr>
        <sz val="11"/>
        <color rgb="FF585365"/>
        <rFont val="メイリオ"/>
        <family val="2"/>
        <charset val="128"/>
        <scheme val="minor"/>
      </rPr>
      <t>あ</t>
    </r>
  </si>
  <si>
    <r>
      <t>ど</t>
    </r>
    <r>
      <rPr>
        <sz val="11"/>
        <color rgb="FFC4B589"/>
        <rFont val="メイリオ"/>
        <family val="2"/>
        <charset val="128"/>
        <scheme val="minor"/>
      </rPr>
      <t>い</t>
    </r>
    <r>
      <rPr>
        <sz val="11"/>
        <color rgb="FF508698"/>
        <rFont val="メイリオ"/>
        <family val="2"/>
        <charset val="128"/>
        <scheme val="minor"/>
      </rPr>
      <t>は</t>
    </r>
    <r>
      <rPr>
        <sz val="11"/>
        <color rgb="FFF3D23F"/>
        <rFont val="メイリオ"/>
        <family val="2"/>
        <charset val="128"/>
        <scheme val="minor"/>
      </rPr>
      <t>で</t>
    </r>
    <r>
      <rPr>
        <sz val="11"/>
        <color rgb="FF71C7BA"/>
        <rFont val="メイリオ"/>
        <family val="2"/>
        <charset val="128"/>
        <scheme val="minor"/>
      </rPr>
      <t>こ</t>
    </r>
  </si>
  <si>
    <r>
      <t>ノ</t>
    </r>
    <r>
      <rPr>
        <sz val="11"/>
        <color rgb="FF90AADE"/>
        <rFont val="メイリオ"/>
        <family val="2"/>
        <charset val="128"/>
        <scheme val="minor"/>
      </rPr>
      <t>ひ</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EC90E2"/>
        <rFont val="メイリオ"/>
        <family val="2"/>
        <charset val="128"/>
        <scheme val="minor"/>
      </rPr>
      <t>フ</t>
    </r>
  </si>
  <si>
    <r>
      <t>く</t>
    </r>
    <r>
      <rPr>
        <sz val="11"/>
        <color rgb="FF585365"/>
        <rFont val="メイリオ"/>
        <family val="2"/>
        <charset val="128"/>
        <scheme val="minor"/>
      </rPr>
      <t>あ</t>
    </r>
  </si>
  <si>
    <r>
      <t>か</t>
    </r>
    <r>
      <rPr>
        <sz val="11"/>
        <color rgb="FFD47948"/>
        <rFont val="メイリオ"/>
        <family val="2"/>
        <charset val="128"/>
        <scheme val="minor"/>
      </rPr>
      <t>じ</t>
    </r>
    <r>
      <rPr>
        <sz val="11"/>
        <color rgb="FF90BE2F"/>
        <rFont val="メイリオ"/>
        <family val="2"/>
        <charset val="128"/>
        <scheme val="minor"/>
      </rPr>
      <t>む</t>
    </r>
    <r>
      <rPr>
        <sz val="11"/>
        <color rgb="FF0B68B9"/>
        <rFont val="メイリオ"/>
        <family val="2"/>
        <charset val="128"/>
        <scheme val="minor"/>
      </rPr>
      <t>ド</t>
    </r>
  </si>
  <si>
    <r>
      <t>ノ</t>
    </r>
    <r>
      <rPr>
        <sz val="11"/>
        <color rgb="FFA364C3"/>
        <rFont val="メイリオ"/>
        <family val="2"/>
        <charset val="128"/>
        <scheme val="minor"/>
      </rPr>
      <t>ど</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</si>
  <si>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5EB654"/>
        <rFont val="メイリオ"/>
        <family val="2"/>
        <charset val="128"/>
        <scheme val="minor"/>
      </rPr>
      <t>く</t>
    </r>
  </si>
  <si>
    <r>
      <t>い</t>
    </r>
    <r>
      <rPr>
        <sz val="11"/>
        <color rgb="FF508698"/>
        <rFont val="メイリオ"/>
        <family val="2"/>
        <charset val="128"/>
        <scheme val="minor"/>
      </rPr>
      <t>は</t>
    </r>
    <r>
      <rPr>
        <sz val="11"/>
        <color rgb="FF4F90D1"/>
        <rFont val="メイリオ"/>
        <family val="2"/>
        <charset val="128"/>
        <scheme val="minor"/>
      </rPr>
      <t>み</t>
    </r>
  </si>
  <si>
    <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FF9D54"/>
        <rFont val="メイリオ"/>
        <family val="2"/>
        <charset val="128"/>
        <scheme val="minor"/>
      </rPr>
      <t>ほ</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</si>
  <si>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</si>
  <si>
    <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585365"/>
        <rFont val="メイリオ"/>
        <family val="2"/>
        <charset val="128"/>
        <scheme val="minor"/>
      </rPr>
      <t>あ</t>
    </r>
  </si>
  <si>
    <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</si>
  <si>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D47948"/>
        <rFont val="メイリオ"/>
        <family val="2"/>
        <charset val="128"/>
        <scheme val="minor"/>
      </rPr>
      <t>じ</t>
    </r>
    <r>
      <rPr>
        <sz val="11"/>
        <color rgb="FF90BE2F"/>
        <rFont val="メイリオ"/>
        <family val="2"/>
        <charset val="128"/>
        <scheme val="minor"/>
      </rPr>
      <t>む</t>
    </r>
    <r>
      <rPr>
        <sz val="11"/>
        <color rgb="FF5EB654"/>
        <rFont val="メイリオ"/>
        <family val="2"/>
        <charset val="128"/>
        <scheme val="minor"/>
      </rPr>
      <t>く</t>
    </r>
  </si>
  <si>
    <r>
      <t>か</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4F90D1"/>
        <rFont val="メイリオ"/>
        <family val="2"/>
        <charset val="128"/>
        <scheme val="minor"/>
      </rPr>
      <t>み</t>
    </r>
    <r>
      <rPr>
        <sz val="11"/>
        <color rgb="FFF3D23F"/>
        <rFont val="メイリオ"/>
        <family val="2"/>
        <charset val="128"/>
        <scheme val="minor"/>
      </rPr>
      <t>で</t>
    </r>
    <r>
      <rPr>
        <sz val="11"/>
        <color rgb="FF585365"/>
        <rFont val="メイリオ"/>
        <family val="2"/>
        <charset val="128"/>
        <scheme val="minor"/>
      </rPr>
      <t>あ</t>
    </r>
  </si>
  <si>
    <r>
      <t>ノ</t>
    </r>
    <r>
      <rPr>
        <sz val="11"/>
        <color rgb="FF90BE2F"/>
        <rFont val="メイリオ"/>
        <family val="2"/>
        <charset val="128"/>
        <scheme val="minor"/>
      </rPr>
      <t>む</t>
    </r>
    <r>
      <rPr>
        <sz val="11"/>
        <color rgb="FF508698"/>
        <rFont val="メイリオ"/>
        <family val="2"/>
        <charset val="128"/>
        <scheme val="minor"/>
      </rPr>
      <t>は</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</si>
  <si>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ひ</t>
    </r>
    <r>
      <rPr>
        <sz val="11"/>
        <color rgb="FFC4B589"/>
        <rFont val="メイリオ"/>
        <family val="2"/>
        <charset val="128"/>
        <scheme val="minor"/>
      </rPr>
      <t>い</t>
    </r>
    <r>
      <rPr>
        <sz val="11"/>
        <color rgb="FFF3D23F"/>
        <rFont val="メイリオ"/>
        <family val="2"/>
        <charset val="128"/>
        <scheme val="minor"/>
      </rPr>
      <t>で</t>
    </r>
  </si>
  <si>
    <r>
      <t>ノ</t>
    </r>
    <r>
      <rPr>
        <sz val="11"/>
        <color rgb="FFA364C3"/>
        <rFont val="メイリオ"/>
        <family val="2"/>
        <charset val="128"/>
        <scheme val="minor"/>
      </rPr>
      <t>ど</t>
    </r>
    <r>
      <rPr>
        <sz val="11"/>
        <color rgb="FF90BE2F"/>
        <rFont val="メイリオ"/>
        <family val="2"/>
        <charset val="128"/>
        <scheme val="minor"/>
      </rPr>
      <t>む</t>
    </r>
    <r>
      <rPr>
        <sz val="11"/>
        <color rgb="FF5367A9"/>
        <rFont val="メイリオ"/>
        <family val="2"/>
        <charset val="128"/>
        <scheme val="minor"/>
      </rPr>
      <t>ゴ</t>
    </r>
    <r>
      <rPr>
        <sz val="11"/>
        <color rgb="FFFF9D54"/>
        <rFont val="メイリオ"/>
        <family val="2"/>
        <charset val="128"/>
        <scheme val="minor"/>
      </rPr>
      <t>ほ</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</si>
  <si>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71C7BA"/>
        <rFont val="メイリオ"/>
        <family val="2"/>
        <charset val="128"/>
        <scheme val="minor"/>
      </rPr>
      <t>こ</t>
    </r>
  </si>
  <si>
    <r>
      <t>ひ</t>
    </r>
    <r>
      <rPr>
        <sz val="11"/>
        <color rgb="FFFF9D54"/>
        <rFont val="メイリオ"/>
        <family val="2"/>
        <charset val="128"/>
        <scheme val="minor"/>
      </rPr>
      <t>ほ</t>
    </r>
  </si>
  <si>
    <r>
      <t>ど</t>
    </r>
    <r>
      <rPr>
        <sz val="11"/>
        <color rgb="FF90BE2F"/>
        <rFont val="メイリオ"/>
        <family val="2"/>
        <charset val="128"/>
        <scheme val="minor"/>
      </rPr>
      <t>む</t>
    </r>
    <r>
      <rPr>
        <sz val="11"/>
        <color rgb="FFC4B589"/>
        <rFont val="メイリオ"/>
        <family val="2"/>
        <charset val="128"/>
        <scheme val="minor"/>
      </rPr>
      <t>い</t>
    </r>
    <r>
      <rPr>
        <sz val="11"/>
        <color rgb="FF71C7BA"/>
        <rFont val="メイリオ"/>
        <family val="2"/>
        <charset val="128"/>
        <scheme val="minor"/>
      </rPr>
      <t>こ</t>
    </r>
  </si>
  <si>
    <r>
      <t>ノ</t>
    </r>
    <r>
      <rPr>
        <sz val="11"/>
        <color rgb="FF5367A9"/>
        <rFont val="メイリオ"/>
        <family val="2"/>
        <charset val="128"/>
        <scheme val="minor"/>
      </rPr>
      <t>ゴ</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</si>
  <si>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4F90D1"/>
        <rFont val="メイリオ"/>
        <family val="2"/>
        <charset val="128"/>
        <scheme val="minor"/>
      </rPr>
      <t>み</t>
    </r>
    <r>
      <rPr>
        <sz val="11"/>
        <color rgb="FFF3D23F"/>
        <rFont val="メイリオ"/>
        <family val="2"/>
        <charset val="128"/>
        <scheme val="minor"/>
      </rPr>
      <t>で</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</si>
  <si>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</si>
  <si>
    <r>
      <t>む</t>
    </r>
    <r>
      <rPr>
        <sz val="11"/>
        <color rgb="FFC4B589"/>
        <rFont val="メイリオ"/>
        <family val="2"/>
        <charset val="128"/>
        <scheme val="minor"/>
      </rPr>
      <t>い</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</si>
  <si>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ゴ</t>
    </r>
    <r>
      <rPr>
        <sz val="11"/>
        <color rgb="FF508698"/>
        <rFont val="メイリオ"/>
        <family val="2"/>
        <charset val="128"/>
        <scheme val="minor"/>
      </rPr>
      <t>は</t>
    </r>
    <r>
      <rPr>
        <sz val="11"/>
        <color rgb="FFFF9D54"/>
        <rFont val="メイリオ"/>
        <family val="2"/>
        <charset val="128"/>
        <scheme val="minor"/>
      </rPr>
      <t>ほ</t>
    </r>
    <r>
      <rPr>
        <sz val="11"/>
        <color rgb="FFF3D23F"/>
        <rFont val="メイリオ"/>
        <family val="2"/>
        <charset val="128"/>
        <scheme val="minor"/>
      </rPr>
      <t>で</t>
    </r>
    <r>
      <rPr>
        <sz val="11"/>
        <color rgb="FF5EB654"/>
        <rFont val="メイリオ"/>
        <family val="2"/>
        <charset val="128"/>
        <scheme val="minor"/>
      </rPr>
      <t>く</t>
    </r>
    <r>
      <rPr>
        <sz val="11"/>
        <color rgb="FF585365"/>
        <rFont val="メイリオ"/>
        <family val="2"/>
        <charset val="128"/>
        <scheme val="minor"/>
      </rPr>
      <t>あ</t>
    </r>
  </si>
  <si>
    <r>
      <t>む</t>
    </r>
    <r>
      <rPr>
        <sz val="11"/>
        <color rgb="FFC4B589"/>
        <rFont val="メイリオ"/>
        <family val="2"/>
        <charset val="128"/>
        <scheme val="minor"/>
      </rPr>
      <t>い</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</si>
  <si>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ノ</t>
    </r>
    <r>
      <rPr>
        <sz val="11"/>
        <color rgb="FF90AADE"/>
        <rFont val="メイリオ"/>
        <family val="2"/>
        <charset val="128"/>
        <scheme val="minor"/>
      </rPr>
      <t>ひ</t>
    </r>
  </si>
  <si>
    <r>
      <t>じ</t>
    </r>
    <r>
      <rPr>
        <sz val="11"/>
        <color rgb="FF4F90D1"/>
        <rFont val="メイリオ"/>
        <family val="2"/>
        <charset val="128"/>
        <scheme val="minor"/>
      </rPr>
      <t>み</t>
    </r>
  </si>
  <si>
    <r>
      <t>ゴ</t>
    </r>
    <r>
      <rPr>
        <sz val="11"/>
        <color rgb="FF508698"/>
        <rFont val="メイリオ"/>
        <family val="2"/>
        <charset val="128"/>
        <scheme val="minor"/>
      </rPr>
      <t>は</t>
    </r>
    <r>
      <rPr>
        <sz val="11"/>
        <color rgb="FFF3D23F"/>
        <rFont val="メイリオ"/>
        <family val="2"/>
        <charset val="128"/>
        <scheme val="minor"/>
      </rPr>
      <t>で</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</si>
  <si>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ノ</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71C7BA"/>
        <rFont val="メイリオ"/>
        <family val="2"/>
        <charset val="128"/>
        <scheme val="minor"/>
      </rPr>
      <t>こ</t>
    </r>
    <r>
      <rPr>
        <sz val="11"/>
        <color rgb="FFEC90E2"/>
        <rFont val="メイリオ"/>
        <family val="2"/>
        <charset val="128"/>
        <scheme val="minor"/>
      </rPr>
      <t>フ</t>
    </r>
  </si>
  <si>
    <r>
      <t>か</t>
    </r>
    <r>
      <rPr>
        <sz val="11"/>
        <color rgb="FFD47948"/>
        <rFont val="メイリオ"/>
        <family val="2"/>
        <charset val="128"/>
        <scheme val="minor"/>
      </rPr>
      <t>じ</t>
    </r>
    <r>
      <rPr>
        <sz val="11"/>
        <color rgb="FFF3D23F"/>
        <rFont val="メイリオ"/>
        <family val="2"/>
        <charset val="128"/>
        <scheme val="minor"/>
      </rPr>
      <t>で</t>
    </r>
  </si>
  <si>
    <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</si>
  <si>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71C7BA"/>
        <rFont val="メイリオ"/>
        <family val="2"/>
        <charset val="128"/>
        <scheme val="minor"/>
      </rPr>
      <t>こ</t>
    </r>
  </si>
  <si>
    <r>
      <t>か</t>
    </r>
    <r>
      <rPr>
        <sz val="11"/>
        <color rgb="FF4F90D1"/>
        <rFont val="メイリオ"/>
        <family val="2"/>
        <charset val="128"/>
        <scheme val="minor"/>
      </rPr>
      <t>み</t>
    </r>
    <r>
      <rPr>
        <sz val="11"/>
        <color rgb="FF5EB654"/>
        <rFont val="メイリオ"/>
        <family val="2"/>
        <charset val="128"/>
        <scheme val="minor"/>
      </rPr>
      <t>く</t>
    </r>
  </si>
  <si>
    <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</si>
  <si>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FF9D54"/>
        <rFont val="メイリオ"/>
        <family val="2"/>
        <charset val="128"/>
        <scheme val="minor"/>
      </rPr>
      <t>ほ</t>
    </r>
    <r>
      <rPr>
        <sz val="11"/>
        <color rgb="FFF3D23F"/>
        <rFont val="メイリオ"/>
        <family val="2"/>
        <charset val="128"/>
        <scheme val="minor"/>
      </rPr>
      <t>で</t>
    </r>
  </si>
  <si>
    <r>
      <t>か</t>
    </r>
    <r>
      <rPr>
        <sz val="11"/>
        <color rgb="FF90BE2F"/>
        <rFont val="メイリオ"/>
        <family val="2"/>
        <charset val="128"/>
        <scheme val="minor"/>
      </rPr>
      <t>む</t>
    </r>
    <r>
      <rPr>
        <sz val="11"/>
        <color rgb="FF508698"/>
        <rFont val="メイリオ"/>
        <family val="2"/>
        <charset val="128"/>
        <scheme val="minor"/>
      </rPr>
      <t>は</t>
    </r>
    <r>
      <rPr>
        <sz val="11"/>
        <color rgb="FF71C7BA"/>
        <rFont val="メイリオ"/>
        <family val="2"/>
        <charset val="128"/>
        <scheme val="minor"/>
      </rPr>
      <t>こ</t>
    </r>
  </si>
  <si>
    <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</si>
  <si>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F3D23F"/>
        <rFont val="メイリオ"/>
        <family val="2"/>
        <charset val="128"/>
        <scheme val="minor"/>
      </rPr>
      <t>で</t>
    </r>
  </si>
  <si>
    <r>
      <t>じ</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585365"/>
        <rFont val="メイリオ"/>
        <family val="2"/>
        <charset val="128"/>
        <scheme val="minor"/>
      </rPr>
      <t>あ</t>
    </r>
  </si>
  <si>
    <r>
      <t>か</t>
    </r>
    <r>
      <rPr>
        <sz val="11"/>
        <color rgb="FFC4B589"/>
        <rFont val="メイリオ"/>
        <family val="2"/>
        <charset val="128"/>
        <scheme val="minor"/>
      </rPr>
      <t>い</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</si>
  <si>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FF9D54"/>
        <rFont val="メイリオ"/>
        <family val="2"/>
        <charset val="128"/>
        <scheme val="minor"/>
      </rPr>
      <t>ほ</t>
    </r>
    <r>
      <rPr>
        <sz val="11"/>
        <color rgb="FFF86E73"/>
        <rFont val="メイリオ"/>
        <family val="2"/>
        <charset val="128"/>
        <scheme val="minor"/>
      </rPr>
      <t>エ</t>
    </r>
  </si>
  <si>
    <r>
      <t>じ</t>
    </r>
    <r>
      <rPr>
        <sz val="11"/>
        <color rgb="FF90BE2F"/>
        <rFont val="メイリオ"/>
        <family val="2"/>
        <charset val="128"/>
        <scheme val="minor"/>
      </rPr>
      <t>む</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EC90E2"/>
        <rFont val="メイリオ"/>
        <family val="2"/>
        <charset val="128"/>
        <scheme val="minor"/>
      </rPr>
      <t>フ</t>
    </r>
  </si>
  <si>
    <r>
      <t>い</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</si>
  <si>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FF9D54"/>
        <rFont val="メイリオ"/>
        <family val="2"/>
        <charset val="128"/>
        <scheme val="minor"/>
      </rPr>
      <t>ほ</t>
    </r>
    <r>
      <rPr>
        <sz val="11"/>
        <color rgb="FF585365"/>
        <rFont val="メイリオ"/>
        <family val="2"/>
        <charset val="128"/>
        <scheme val="minor"/>
      </rPr>
      <t>あ</t>
    </r>
  </si>
  <si>
    <t>番号</t>
    <phoneticPr fontId="3"/>
  </si>
  <si>
    <r>
      <t>ど</t>
    </r>
    <r>
      <rPr>
        <sz val="10"/>
        <color rgb="FF5EB654"/>
        <rFont val="メイリオ"/>
        <family val="2"/>
        <charset val="128"/>
        <scheme val="minor"/>
      </rPr>
      <t>く</t>
    </r>
  </si>
  <si>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</si>
  <si>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</si>
  <si>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</si>
  <si>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</si>
  <si>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</si>
  <si>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</si>
  <si>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</si>
  <si>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</si>
  <si>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</si>
  <si>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</si>
  <si>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</si>
  <si>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</si>
  <si>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</si>
  <si>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</si>
  <si>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</si>
  <si>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</si>
  <si>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</si>
  <si>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</si>
  <si>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</si>
  <si>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</si>
  <si>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</si>
  <si>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</si>
  <si>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</si>
  <si>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</si>
  <si>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</si>
  <si>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</si>
  <si>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</si>
  <si>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</si>
  <si>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</si>
  <si>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</si>
  <si>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</si>
  <si>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</si>
  <si>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</si>
  <si>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</si>
  <si>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</si>
  <si>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</si>
  <si>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</si>
  <si>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</si>
  <si>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</si>
  <si>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</si>
  <si>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</si>
  <si>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</si>
  <si>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</si>
  <si>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</si>
  <si>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</si>
  <si>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</si>
  <si>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</si>
  <si>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</si>
  <si>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</si>
  <si>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</si>
  <si>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</si>
  <si>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</si>
  <si>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</si>
  <si>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</si>
  <si>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</si>
  <si>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</si>
  <si>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</si>
  <si>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</si>
  <si>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</si>
  <si>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</si>
  <si>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</si>
  <si>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</si>
  <si>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</si>
  <si>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</si>
  <si>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</si>
  <si>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</si>
  <si>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</si>
  <si>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</si>
  <si>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</si>
  <si>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</si>
  <si>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</si>
  <si>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</si>
  <si>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</si>
  <si>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</si>
  <si>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</si>
  <si>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</si>
  <si>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</si>
  <si>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</si>
  <si>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</si>
  <si>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</si>
  <si>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</si>
  <si>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</si>
  <si>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</si>
  <si>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</si>
  <si>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</si>
  <si>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</si>
  <si>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</si>
  <si>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</si>
  <si>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</si>
  <si>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</si>
  <si>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</si>
  <si>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</si>
  <si>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</si>
  <si>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</si>
  <si>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</si>
  <si>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</si>
  <si>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</si>
  <si>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</si>
  <si>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</si>
  <si>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</si>
  <si>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</si>
  <si>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</si>
  <si>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</si>
  <si>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</si>
  <si>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</si>
  <si>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</si>
  <si>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</si>
  <si>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</si>
  <si>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</si>
  <si>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</si>
  <si>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</si>
  <si>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</si>
  <si>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</si>
  <si>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</si>
  <si>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</si>
  <si>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</si>
  <si>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</si>
  <si>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</si>
  <si>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</si>
  <si>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</si>
  <si>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</si>
  <si>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</si>
  <si>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</si>
  <si>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</si>
  <si>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</si>
  <si>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</si>
  <si>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</si>
  <si>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</si>
  <si>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</si>
  <si>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</si>
  <si>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</si>
  <si>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</si>
  <si>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</si>
  <si>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</si>
  <si>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</si>
  <si>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</si>
  <si>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</si>
  <si>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</si>
  <si>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</si>
  <si>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</si>
  <si>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</si>
  <si>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</si>
  <si>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</si>
  <si>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</si>
  <si>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</si>
  <si>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</si>
  <si>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</si>
  <si>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</si>
  <si>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</si>
  <si>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</si>
  <si>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</si>
  <si>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</si>
  <si>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</si>
  <si>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</si>
  <si>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</si>
  <si>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</si>
  <si>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</si>
  <si>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</si>
  <si>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</si>
  <si>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</si>
  <si>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</si>
  <si>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</si>
  <si>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</si>
  <si>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</si>
  <si>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</si>
  <si>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</si>
  <si>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</si>
  <si>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</si>
  <si>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</si>
  <si>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</si>
  <si>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</si>
  <si>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</si>
  <si>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</si>
  <si>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</si>
  <si>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</si>
  <si>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</si>
  <si>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</si>
  <si>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</si>
  <si>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</si>
  <si>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</si>
  <si>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</si>
  <si>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</si>
  <si>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</si>
  <si>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</si>
  <si>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</si>
  <si>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</si>
  <si>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</si>
  <si>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</si>
  <si>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</si>
  <si>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</si>
  <si>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</si>
  <si>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</si>
  <si>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</si>
  <si>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</si>
  <si>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</si>
  <si>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</si>
  <si>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</si>
  <si>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</si>
  <si>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</si>
  <si>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</si>
  <si>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</si>
  <si>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</si>
  <si>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</si>
  <si>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</si>
  <si>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</si>
  <si>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</si>
  <si>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</si>
  <si>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</si>
  <si>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</si>
  <si>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</si>
  <si>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</si>
  <si>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</si>
  <si>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</si>
  <si>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</si>
  <si>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</si>
  <si>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</si>
  <si>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</si>
  <si>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</si>
  <si>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</si>
  <si>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</si>
  <si>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</si>
  <si>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</si>
  <si>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</si>
  <si>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</si>
  <si>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</si>
  <si>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</si>
  <si>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</si>
  <si>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</si>
  <si>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</si>
  <si>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</si>
  <si>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</si>
  <si>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</si>
  <si>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</si>
  <si>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</si>
  <si>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</si>
  <si>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</si>
  <si>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</si>
  <si>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</si>
  <si>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</si>
  <si>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</si>
  <si>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</si>
  <si>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</si>
  <si>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</si>
  <si>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</si>
  <si>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</si>
  <si>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</si>
  <si>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</si>
  <si>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</si>
  <si>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</si>
  <si>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</si>
  <si>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</si>
  <si>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</si>
  <si>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</si>
  <si>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</si>
  <si>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</si>
  <si>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</si>
  <si>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</si>
  <si>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</si>
  <si>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</si>
  <si>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</si>
  <si>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</si>
  <si>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</si>
  <si>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</si>
  <si>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</si>
  <si>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</si>
  <si>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</si>
  <si>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エアスラッシュ,</t>
    </r>
    <r>
      <rPr>
        <sz val="10"/>
        <color rgb="FFFF9D54"/>
        <rFont val="メイリオ"/>
        <family val="2"/>
        <charset val="128"/>
        <scheme val="minor"/>
      </rPr>
      <t>ほのおのうず</t>
    </r>
  </si>
  <si>
    <r>
      <t>かみつく,</t>
    </r>
    <r>
      <rPr>
        <sz val="10"/>
        <color rgb="FF4F90D1"/>
        <rFont val="メイリオ"/>
        <family val="2"/>
        <charset val="128"/>
        <scheme val="minor"/>
      </rPr>
      <t>みずでっぽう</t>
    </r>
  </si>
  <si>
    <r>
      <t>どくばり,</t>
    </r>
    <r>
      <rPr>
        <sz val="10"/>
        <color rgb="FF90BE2F"/>
        <rFont val="メイリオ"/>
        <family val="2"/>
        <charset val="128"/>
        <scheme val="minor"/>
      </rPr>
      <t>むしくい</t>
    </r>
  </si>
  <si>
    <r>
      <t>どくづき,</t>
    </r>
    <r>
      <rPr>
        <sz val="10"/>
        <color rgb="FF90BE2F"/>
        <rFont val="メイリオ"/>
        <family val="2"/>
        <charset val="128"/>
        <scheme val="minor"/>
      </rPr>
      <t>まとわりつく</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</si>
  <si>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</si>
  <si>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かみつく,</t>
    </r>
    <r>
      <rPr>
        <sz val="10"/>
        <color rgb="FFA364C3"/>
        <rFont val="メイリオ"/>
        <family val="2"/>
        <charset val="128"/>
        <scheme val="minor"/>
      </rPr>
      <t>どくばり</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</si>
  <si>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</si>
  <si>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だましうち,</t>
    </r>
    <r>
      <rPr>
        <sz val="10"/>
        <color rgb="FF8C949C"/>
        <rFont val="メイリオ"/>
        <family val="2"/>
        <charset val="128"/>
        <scheme val="minor"/>
      </rPr>
      <t>はたく</t>
    </r>
  </si>
  <si>
    <r>
      <t>かみつく,</t>
    </r>
    <r>
      <rPr>
        <sz val="10"/>
        <color rgb="FF8C949C"/>
        <rFont val="メイリオ"/>
        <family val="2"/>
        <charset val="128"/>
        <scheme val="minor"/>
      </rPr>
      <t>ひっかく</t>
    </r>
  </si>
  <si>
    <r>
      <t>あわ,</t>
    </r>
    <r>
      <rPr>
        <sz val="10"/>
        <color rgb="FFD47948"/>
        <rFont val="メイリオ"/>
        <family val="2"/>
        <charset val="128"/>
        <scheme val="minor"/>
      </rPr>
      <t>マッドショット</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</si>
  <si>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</si>
  <si>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つるのムチ,</t>
    </r>
    <r>
      <rPr>
        <sz val="10"/>
        <color rgb="FFA364C3"/>
        <rFont val="メイリオ"/>
        <family val="2"/>
        <charset val="128"/>
        <scheme val="minor"/>
      </rPr>
      <t>ようかいえき</t>
    </r>
  </si>
  <si>
    <r>
      <t>あわ,</t>
    </r>
    <r>
      <rPr>
        <sz val="10"/>
        <color rgb="FFA364C3"/>
        <rFont val="メイリオ"/>
        <family val="2"/>
        <charset val="128"/>
        <scheme val="minor"/>
      </rPr>
      <t>どくばり</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</si>
  <si>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</si>
  <si>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</si>
  <si>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たいあたり,</t>
    </r>
    <r>
      <rPr>
        <sz val="10"/>
        <color rgb="FFFF9D54"/>
        <rFont val="メイリオ"/>
        <family val="2"/>
        <charset val="128"/>
        <scheme val="minor"/>
      </rPr>
      <t>ひのこ</t>
    </r>
  </si>
  <si>
    <r>
      <t>こおりのつぶて,</t>
    </r>
    <r>
      <rPr>
        <sz val="10"/>
        <color rgb="FF8C949C"/>
        <rFont val="メイリオ"/>
        <family val="2"/>
        <charset val="128"/>
        <scheme val="minor"/>
      </rPr>
      <t>たいあたり</t>
    </r>
  </si>
  <si>
    <r>
      <t>メガホーン</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</si>
  <si>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4F90D1"/>
        <rFont val="メイリオ"/>
        <family val="2"/>
        <charset val="128"/>
        <scheme val="minor"/>
      </rPr>
      <t>みずでっぽう</t>
    </r>
  </si>
  <si>
    <r>
      <t>けたぐり,</t>
    </r>
    <r>
      <rPr>
        <sz val="10"/>
        <color rgb="FFF3D23F"/>
        <rFont val="メイリオ"/>
        <family val="2"/>
        <charset val="128"/>
        <scheme val="minor"/>
      </rPr>
      <t>でんきショック</t>
    </r>
  </si>
  <si>
    <r>
      <t>かみつく,</t>
    </r>
    <r>
      <rPr>
        <sz val="10"/>
        <color rgb="FF0B68B9"/>
        <rFont val="メイリオ"/>
        <family val="2"/>
        <charset val="128"/>
        <scheme val="minor"/>
      </rPr>
      <t>りゅうのいぶき</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</si>
  <si>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</si>
  <si>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</si>
  <si>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</si>
  <si>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たいあたり,</t>
    </r>
    <r>
      <rPr>
        <sz val="10"/>
        <color rgb="FF5EB654"/>
        <rFont val="メイリオ"/>
        <family val="2"/>
        <charset val="128"/>
        <scheme val="minor"/>
      </rPr>
      <t>つるのムチ</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</si>
  <si>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</si>
  <si>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</si>
  <si>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2"/>
        <charset val="128"/>
        <scheme val="minor"/>
      </rPr>
      <t>みずでっぽう</t>
    </r>
  </si>
  <si>
    <r>
      <t>だましうち,</t>
    </r>
    <r>
      <rPr>
        <sz val="10"/>
        <color rgb="FF90AADE"/>
        <rFont val="メイリオ"/>
        <family val="2"/>
        <charset val="128"/>
        <scheme val="minor"/>
      </rPr>
      <t>つつく</t>
    </r>
  </si>
  <si>
    <r>
      <t>つつく,</t>
    </r>
    <r>
      <rPr>
        <sz val="10"/>
        <color rgb="FFD47948"/>
        <rFont val="メイリオ"/>
        <family val="2"/>
        <charset val="128"/>
        <scheme val="minor"/>
      </rPr>
      <t>めざめるパワー地</t>
    </r>
    <r>
      <rPr>
        <sz val="10"/>
        <color rgb="FF90AADE"/>
        <rFont val="メイリオ"/>
        <family val="2"/>
        <charset val="128"/>
        <scheme val="minor"/>
      </rPr>
      <t>,</t>
    </r>
    <r>
      <rPr>
        <sz val="10"/>
        <color rgb="FFC4B589"/>
        <rFont val="メイリオ"/>
        <family val="2"/>
        <charset val="128"/>
        <scheme val="minor"/>
      </rPr>
      <t>めざめるパワー岩</t>
    </r>
    <r>
      <rPr>
        <sz val="10"/>
        <color rgb="FF90AADE"/>
        <rFont val="メイリオ"/>
        <family val="2"/>
        <charset val="128"/>
        <scheme val="minor"/>
      </rPr>
      <t>,</t>
    </r>
    <r>
      <rPr>
        <sz val="10"/>
        <color rgb="FF585365"/>
        <rFont val="メイリオ"/>
        <family val="2"/>
        <charset val="128"/>
        <scheme val="minor"/>
      </rPr>
      <t>めざめるパワー悪</t>
    </r>
    <r>
      <rPr>
        <sz val="10"/>
        <color rgb="FF90AADE"/>
        <rFont val="メイリオ"/>
        <family val="2"/>
        <charset val="128"/>
        <scheme val="minor"/>
      </rPr>
      <t>,</t>
    </r>
    <r>
      <rPr>
        <sz val="10"/>
        <color rgb="FFA364C3"/>
        <rFont val="メイリオ"/>
        <family val="2"/>
        <charset val="128"/>
        <scheme val="minor"/>
      </rPr>
      <t>めざめるパワー毒</t>
    </r>
    <r>
      <rPr>
        <sz val="10"/>
        <color rgb="FF90AADE"/>
        <rFont val="メイリオ"/>
        <family val="2"/>
        <charset val="128"/>
        <scheme val="minor"/>
      </rPr>
      <t>,</t>
    </r>
    <r>
      <rPr>
        <sz val="10"/>
        <color rgb="FF4F90D1"/>
        <rFont val="メイリオ"/>
        <family val="2"/>
        <charset val="128"/>
        <scheme val="minor"/>
      </rPr>
      <t>めざめるパワー水</t>
    </r>
    <r>
      <rPr>
        <sz val="10"/>
        <color rgb="FF90AADE"/>
        <rFont val="メイリオ"/>
        <family val="2"/>
        <charset val="128"/>
        <scheme val="minor"/>
      </rPr>
      <t>,</t>
    </r>
    <r>
      <rPr>
        <sz val="10"/>
        <color rgb="FF71C7BA"/>
        <rFont val="メイリオ"/>
        <family val="2"/>
        <charset val="128"/>
        <scheme val="minor"/>
      </rPr>
      <t>めざめるパワー氷</t>
    </r>
    <r>
      <rPr>
        <sz val="10"/>
        <color rgb="FF90AADE"/>
        <rFont val="メイリオ"/>
        <family val="2"/>
        <charset val="128"/>
        <scheme val="minor"/>
      </rPr>
      <t>,</t>
    </r>
    <r>
      <rPr>
        <sz val="10"/>
        <color rgb="FFFF9D54"/>
        <rFont val="メイリオ"/>
        <family val="2"/>
        <charset val="128"/>
        <scheme val="minor"/>
      </rPr>
      <t>めざめるパワー炎</t>
    </r>
    <r>
      <rPr>
        <sz val="10"/>
        <color rgb="FF90AADE"/>
        <rFont val="メイリオ"/>
        <family val="2"/>
        <charset val="128"/>
        <scheme val="minor"/>
      </rPr>
      <t>,</t>
    </r>
    <r>
      <rPr>
        <sz val="10"/>
        <color rgb="FF0B68B9"/>
        <rFont val="メイリオ"/>
        <family val="2"/>
        <charset val="128"/>
        <scheme val="minor"/>
      </rPr>
      <t>めざめるパワー竜</t>
    </r>
    <r>
      <rPr>
        <sz val="10"/>
        <color rgb="FF90AADE"/>
        <rFont val="メイリオ"/>
        <family val="2"/>
        <charset val="128"/>
        <scheme val="minor"/>
      </rPr>
      <t>,</t>
    </r>
    <r>
      <rPr>
        <sz val="10"/>
        <color rgb="FF5EB654"/>
        <rFont val="メイリオ"/>
        <family val="2"/>
        <charset val="128"/>
        <scheme val="minor"/>
      </rPr>
      <t>めざめるパワー草</t>
    </r>
    <r>
      <rPr>
        <sz val="10"/>
        <color rgb="FF90AADE"/>
        <rFont val="メイリオ"/>
        <family val="2"/>
        <charset val="128"/>
        <scheme val="minor"/>
      </rPr>
      <t>,</t>
    </r>
    <r>
      <rPr>
        <sz val="10"/>
        <color rgb="FF90BE2F"/>
        <rFont val="メイリオ"/>
        <family val="2"/>
        <charset val="128"/>
        <scheme val="minor"/>
      </rPr>
      <t>めざめるパワー虫</t>
    </r>
    <r>
      <rPr>
        <sz val="10"/>
        <color rgb="FF90AADE"/>
        <rFont val="メイリオ"/>
        <family val="2"/>
        <charset val="128"/>
        <scheme val="minor"/>
      </rPr>
      <t>,</t>
    </r>
    <r>
      <rPr>
        <sz val="10"/>
        <color rgb="FFF86E73"/>
        <rFont val="メイリオ"/>
        <family val="2"/>
        <charset val="128"/>
        <scheme val="minor"/>
      </rPr>
      <t>めざめるパワー超</t>
    </r>
    <r>
      <rPr>
        <sz val="10"/>
        <color rgb="FF90AADE"/>
        <rFont val="メイリオ"/>
        <family val="2"/>
        <charset val="128"/>
        <scheme val="minor"/>
      </rPr>
      <t>,</t>
    </r>
    <r>
      <rPr>
        <sz val="10"/>
        <color rgb="FF508698"/>
        <rFont val="メイリオ"/>
        <family val="2"/>
        <charset val="128"/>
        <scheme val="minor"/>
      </rPr>
      <t>めざめるパワー鋼</t>
    </r>
    <r>
      <rPr>
        <sz val="10"/>
        <color rgb="FF90AADE"/>
        <rFont val="メイリオ"/>
        <family val="2"/>
        <charset val="128"/>
        <scheme val="minor"/>
      </rPr>
      <t>,</t>
    </r>
    <r>
      <rPr>
        <sz val="10"/>
        <color rgb="FFCA4067"/>
        <rFont val="メイリオ"/>
        <family val="2"/>
        <charset val="128"/>
        <scheme val="minor"/>
      </rPr>
      <t>めざめるパワー闘</t>
    </r>
    <r>
      <rPr>
        <sz val="10"/>
        <color rgb="FF90AADE"/>
        <rFont val="メイリオ"/>
        <family val="2"/>
        <charset val="128"/>
        <scheme val="minor"/>
      </rPr>
      <t>,</t>
    </r>
    <r>
      <rPr>
        <sz val="10"/>
        <color rgb="FFF3D23F"/>
        <rFont val="メイリオ"/>
        <family val="2"/>
        <charset val="128"/>
        <scheme val="minor"/>
      </rPr>
      <t>めざめるパワー電</t>
    </r>
    <r>
      <rPr>
        <sz val="10"/>
        <color rgb="FF90AADE"/>
        <rFont val="メイリオ"/>
        <family val="2"/>
        <charset val="128"/>
        <scheme val="minor"/>
      </rPr>
      <t>,</t>
    </r>
    <r>
      <rPr>
        <sz val="10"/>
        <color rgb="FF5367A9"/>
        <rFont val="メイリオ"/>
        <family val="2"/>
        <charset val="128"/>
        <scheme val="minor"/>
      </rPr>
      <t>めざめるパワー霊</t>
    </r>
    <r>
      <rPr>
        <sz val="10"/>
        <color rgb="FF90AADE"/>
        <rFont val="メイリオ"/>
        <family val="2"/>
        <charset val="128"/>
        <scheme val="minor"/>
      </rPr>
      <t>,めざめるパワー飛</t>
    </r>
  </si>
  <si>
    <r>
      <t>タネマシンガン,</t>
    </r>
    <r>
      <rPr>
        <sz val="10"/>
        <color rgb="FF90BE2F"/>
        <rFont val="メイリオ"/>
        <family val="2"/>
        <charset val="128"/>
        <scheme val="minor"/>
      </rPr>
      <t>まとわりつく</t>
    </r>
  </si>
  <si>
    <r>
      <t>マッドショット,</t>
    </r>
    <r>
      <rPr>
        <sz val="10"/>
        <color rgb="FF4F90D1"/>
        <rFont val="メイリオ"/>
        <family val="2"/>
        <charset val="128"/>
        <scheme val="minor"/>
      </rPr>
      <t>みずでっぽう</t>
    </r>
  </si>
  <si>
    <r>
      <t>どくばり,</t>
    </r>
    <r>
      <rPr>
        <sz val="10"/>
        <color rgb="FF4F90D1"/>
        <rFont val="メイリオ"/>
        <family val="2"/>
        <charset val="128"/>
        <scheme val="minor"/>
      </rPr>
      <t>みずでっぽう</t>
    </r>
  </si>
  <si>
    <r>
      <t>こおりのつぶて,</t>
    </r>
    <r>
      <rPr>
        <sz val="10"/>
        <color rgb="FF585365"/>
        <rFont val="メイリオ"/>
        <family val="2"/>
        <charset val="128"/>
        <scheme val="minor"/>
      </rPr>
      <t>だましうち</t>
    </r>
  </si>
  <si>
    <r>
      <t>いわおとし,</t>
    </r>
    <r>
      <rPr>
        <sz val="10"/>
        <color rgb="FFFF9D54"/>
        <rFont val="メイリオ"/>
        <family val="2"/>
        <charset val="128"/>
        <scheme val="minor"/>
      </rPr>
      <t>ひのこ</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</si>
  <si>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</si>
  <si>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</si>
  <si>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だましうち,</t>
    </r>
    <r>
      <rPr>
        <sz val="10"/>
        <color rgb="FFFF9D54"/>
        <rFont val="メイリオ"/>
        <family val="2"/>
        <charset val="128"/>
        <scheme val="minor"/>
      </rPr>
      <t>ひのこ</t>
    </r>
  </si>
  <si>
    <r>
      <t>バークアウト,</t>
    </r>
    <r>
      <rPr>
        <sz val="10"/>
        <color rgb="FFFF9D54"/>
        <rFont val="メイリオ"/>
        <family val="2"/>
        <charset val="128"/>
        <scheme val="minor"/>
      </rPr>
      <t>ほのおのキバ</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</si>
  <si>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</si>
  <si>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メガホーン</t>
    </r>
    <r>
      <rPr>
        <sz val="10"/>
        <color rgb="FF0B68B9"/>
        <rFont val="メイリオ"/>
        <family val="3"/>
        <charset val="128"/>
        <scheme val="minor"/>
      </rPr>
      <t>,</t>
    </r>
    <r>
      <rPr>
        <sz val="10"/>
        <color rgb="FFF3D23F"/>
        <rFont val="メイリオ"/>
        <family val="3"/>
        <charset val="128"/>
        <scheme val="minor"/>
      </rPr>
      <t>ワイルドボルト</t>
    </r>
  </si>
  <si>
    <r>
      <t>めざめるパワー炎,</t>
    </r>
    <r>
      <rPr>
        <sz val="10"/>
        <color rgb="FF90AADE"/>
        <rFont val="メイリオ"/>
        <family val="2"/>
        <charset val="128"/>
        <scheme val="minor"/>
      </rPr>
      <t>めざめるパワー飛</t>
    </r>
  </si>
  <si>
    <r>
      <t>つつく,</t>
    </r>
    <r>
      <rPr>
        <sz val="10"/>
        <color rgb="FFFF9D54"/>
        <rFont val="メイリオ"/>
        <family val="2"/>
        <charset val="128"/>
        <scheme val="minor"/>
      </rPr>
      <t>ひのこ</t>
    </r>
  </si>
  <si>
    <r>
      <t>かみなりのキバ,</t>
    </r>
    <r>
      <rPr>
        <sz val="10"/>
        <color rgb="FF71C7BA"/>
        <rFont val="メイリオ"/>
        <family val="2"/>
        <charset val="128"/>
        <scheme val="minor"/>
      </rPr>
      <t>こおりのキバ</t>
    </r>
    <r>
      <rPr>
        <sz val="10"/>
        <color rgb="FFF3D23F"/>
        <rFont val="メイリオ"/>
        <family val="2"/>
        <charset val="128"/>
        <scheme val="minor"/>
      </rPr>
      <t>,</t>
    </r>
    <r>
      <rPr>
        <sz val="10"/>
        <color rgb="FFFF9D54"/>
        <rFont val="メイリオ"/>
        <family val="2"/>
        <charset val="128"/>
        <scheme val="minor"/>
      </rPr>
      <t>ほのおのキバ</t>
    </r>
  </si>
  <si>
    <r>
      <t>かみなりのキバ,</t>
    </r>
    <r>
      <rPr>
        <sz val="10"/>
        <color rgb="FF71C7BA"/>
        <rFont val="メイリオ"/>
        <family val="2"/>
        <charset val="128"/>
        <scheme val="minor"/>
      </rPr>
      <t>こおりのキバ</t>
    </r>
  </si>
  <si>
    <r>
      <t>あなをほる</t>
    </r>
    <r>
      <rPr>
        <sz val="10"/>
        <color rgb="FF0B68B9"/>
        <rFont val="メイリオ"/>
        <family val="3"/>
        <charset val="128"/>
        <scheme val="minor"/>
      </rPr>
      <t>,</t>
    </r>
    <r>
      <rPr>
        <sz val="10"/>
        <color rgb="FFF3D23F"/>
        <rFont val="メイリオ"/>
        <family val="3"/>
        <charset val="128"/>
        <scheme val="minor"/>
      </rPr>
      <t>かみなり</t>
    </r>
  </si>
  <si>
    <r>
      <t>あまえる,</t>
    </r>
    <r>
      <rPr>
        <sz val="10"/>
        <color rgb="FFF86E73"/>
        <rFont val="メイリオ"/>
        <family val="2"/>
        <charset val="128"/>
        <scheme val="minor"/>
      </rPr>
      <t>ねんりき</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</si>
  <si>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</si>
  <si>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</si>
  <si>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たいあたり,</t>
    </r>
    <r>
      <rPr>
        <sz val="10"/>
        <color rgb="FF585365"/>
        <rFont val="メイリオ"/>
        <family val="2"/>
        <charset val="128"/>
        <scheme val="minor"/>
      </rPr>
      <t>だましうち</t>
    </r>
  </si>
  <si>
    <r>
      <t>じゃれつく</t>
    </r>
    <r>
      <rPr>
        <sz val="10"/>
        <color rgb="FF0B68B9"/>
        <rFont val="メイリオ"/>
        <family val="3"/>
        <charset val="128"/>
        <scheme val="minor"/>
      </rPr>
      <t>,</t>
    </r>
    <r>
      <rPr>
        <sz val="10"/>
        <color rgb="FFF3D23F"/>
        <rFont val="メイリオ"/>
        <family val="3"/>
        <charset val="128"/>
        <scheme val="minor"/>
      </rPr>
      <t>ワイルドボルト</t>
    </r>
  </si>
  <si>
    <r>
      <t>こおりのキバ,</t>
    </r>
    <r>
      <rPr>
        <sz val="10"/>
        <color rgb="FFFF9D54"/>
        <rFont val="メイリオ"/>
        <family val="2"/>
        <charset val="128"/>
        <scheme val="minor"/>
      </rPr>
      <t>ほのおのキバ</t>
    </r>
  </si>
  <si>
    <r>
      <t>たいあたり,</t>
    </r>
    <r>
      <rPr>
        <sz val="10"/>
        <color rgb="FF508698"/>
        <rFont val="メイリオ"/>
        <family val="2"/>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</si>
  <si>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</si>
  <si>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たいあたり,</t>
    </r>
    <r>
      <rPr>
        <sz val="10"/>
        <color rgb="FF90BE2F"/>
        <rFont val="メイリオ"/>
        <family val="2"/>
        <charset val="128"/>
        <scheme val="minor"/>
      </rPr>
      <t>むしのていこう</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</si>
  <si>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</si>
  <si>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</si>
  <si>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</si>
  <si>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</si>
  <si>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</si>
  <si>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2"/>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</si>
  <si>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</si>
  <si>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</si>
  <si>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</si>
  <si>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けたぐり,</t>
    </r>
    <r>
      <rPr>
        <sz val="10"/>
        <color rgb="FF8C949C"/>
        <rFont val="メイリオ"/>
        <family val="2"/>
        <charset val="128"/>
        <scheme val="minor"/>
      </rPr>
      <t>はたく</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</si>
  <si>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</si>
  <si>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</si>
  <si>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</si>
  <si>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</si>
  <si>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はたく,</t>
    </r>
    <r>
      <rPr>
        <sz val="10"/>
        <color rgb="FF4F90D1"/>
        <rFont val="メイリオ"/>
        <family val="2"/>
        <charset val="128"/>
        <scheme val="minor"/>
      </rPr>
      <t>みずでっぽう</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</si>
  <si>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</si>
  <si>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こおりのつぶて,</t>
    </r>
    <r>
      <rPr>
        <sz val="10"/>
        <color rgb="FF585365"/>
        <rFont val="メイリオ"/>
        <family val="2"/>
        <charset val="128"/>
        <scheme val="minor"/>
      </rPr>
      <t>バークアウト</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</si>
  <si>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</si>
  <si>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</si>
  <si>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けたぐり,</t>
    </r>
    <r>
      <rPr>
        <sz val="10"/>
        <color rgb="FFFF9D54"/>
        <rFont val="メイリオ"/>
        <family val="2"/>
        <charset val="128"/>
        <scheme val="minor"/>
      </rPr>
      <t>ひのこ</t>
    </r>
  </si>
  <si>
    <r>
      <t>かみつく,</t>
    </r>
    <r>
      <rPr>
        <sz val="10"/>
        <color rgb="FF8C949C"/>
        <rFont val="メイリオ"/>
        <family val="2"/>
        <charset val="128"/>
        <scheme val="minor"/>
      </rPr>
      <t>たいあたり</t>
    </r>
  </si>
  <si>
    <r>
      <t>かみつく,</t>
    </r>
    <r>
      <rPr>
        <sz val="10"/>
        <color rgb="FFCA4067"/>
        <rFont val="メイリオ"/>
        <family val="2"/>
        <charset val="128"/>
        <scheme val="minor"/>
      </rPr>
      <t>けたぐり</t>
    </r>
  </si>
  <si>
    <r>
      <t>タネマシンガン,</t>
    </r>
    <r>
      <rPr>
        <sz val="10"/>
        <color rgb="FF508698"/>
        <rFont val="メイリオ"/>
        <family val="2"/>
        <charset val="128"/>
        <scheme val="minor"/>
      </rPr>
      <t>メタルクロー</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</si>
  <si>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</si>
  <si>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</si>
  <si>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t>10まんボルト,ワイルドボルト</t>
  </si>
  <si>
    <r>
      <t>サイコキネシス,</t>
    </r>
    <r>
      <rPr>
        <sz val="10"/>
        <color rgb="FFF3D23F"/>
        <rFont val="メイリオ"/>
        <family val="2"/>
        <charset val="128"/>
        <scheme val="minor"/>
      </rPr>
      <t>ワイルドボルト</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</si>
  <si>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</si>
  <si>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</si>
  <si>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</si>
  <si>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</si>
  <si>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</si>
  <si>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</si>
  <si>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r>
      <t>あなをほる,</t>
    </r>
    <r>
      <rPr>
        <sz val="10"/>
        <color rgb="FFC4B589"/>
        <rFont val="メイリオ"/>
        <family val="2"/>
        <charset val="128"/>
        <scheme val="minor"/>
      </rPr>
      <t>ストーンエッジ</t>
    </r>
  </si>
  <si>
    <t>シャドークロー,たたりめ</t>
  </si>
  <si>
    <r>
      <t>つるのムチ,</t>
    </r>
    <r>
      <rPr>
        <sz val="10"/>
        <color rgb="FF90BE2F"/>
        <rFont val="メイリオ"/>
        <family val="2"/>
        <charset val="128"/>
        <scheme val="minor"/>
      </rPr>
      <t>まとわりつく</t>
    </r>
  </si>
  <si>
    <r>
      <t>みずでっぽう</t>
    </r>
    <r>
      <rPr>
        <sz val="10"/>
        <color rgb="FF0B68B9"/>
        <rFont val="メイリオ"/>
        <family val="3"/>
        <charset val="128"/>
        <scheme val="minor"/>
      </rPr>
      <t>,りゅうのいぶき</t>
    </r>
  </si>
  <si>
    <r>
      <t>メガホーン,</t>
    </r>
    <r>
      <rPr>
        <sz val="10"/>
        <color rgb="FF71C7BA"/>
        <rFont val="メイリオ"/>
        <family val="2"/>
        <charset val="128"/>
        <scheme val="minor"/>
      </rPr>
      <t>れいとうビーム</t>
    </r>
  </si>
  <si>
    <r>
      <t>メガホーン</t>
    </r>
    <r>
      <rPr>
        <sz val="10"/>
        <color rgb="FF585365"/>
        <rFont val="メイリオ"/>
        <family val="3"/>
        <charset val="128"/>
        <scheme val="minor"/>
      </rPr>
      <t>,</t>
    </r>
    <r>
      <rPr>
        <sz val="10"/>
        <color rgb="FF71C7BA"/>
        <rFont val="メイリオ"/>
        <family val="3"/>
        <charset val="128"/>
        <scheme val="minor"/>
      </rPr>
      <t>れいとうビーム</t>
    </r>
  </si>
  <si>
    <r>
      <t>めざめるパワー水,</t>
    </r>
    <r>
      <rPr>
        <sz val="10"/>
        <color rgb="FFF86E73"/>
        <rFont val="メイリオ"/>
        <family val="2"/>
        <charset val="128"/>
        <scheme val="minor"/>
      </rPr>
      <t>めざめるパワー超</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</si>
  <si>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</si>
  <si>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2"/>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</si>
  <si>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</si>
  <si>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</si>
  <si>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たきのぼり,</t>
    </r>
    <r>
      <rPr>
        <sz val="10"/>
        <color rgb="FFF3D23F"/>
        <rFont val="メイリオ"/>
        <family val="2"/>
        <charset val="128"/>
        <scheme val="minor"/>
      </rPr>
      <t>ボルトチェンジ</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</si>
  <si>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</si>
  <si>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</si>
  <si>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</si>
  <si>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</si>
  <si>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8C949C"/>
        <rFont val="メイリオ"/>
        <family val="2"/>
        <charset val="128"/>
        <scheme val="minor"/>
      </rPr>
      <t>のしかかり</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</si>
  <si>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</si>
  <si>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</si>
  <si>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</si>
  <si>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</si>
  <si>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</si>
  <si>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</si>
  <si>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インファイト,</t>
    </r>
    <r>
      <rPr>
        <sz val="10"/>
        <color rgb="FFD47948"/>
        <rFont val="メイリオ"/>
        <family val="2"/>
        <charset val="128"/>
        <scheme val="minor"/>
      </rPr>
      <t>じしん</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</si>
  <si>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</si>
  <si>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</si>
  <si>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10まんボルト,</t>
    </r>
    <r>
      <rPr>
        <sz val="10"/>
        <color rgb="FF71C7BA"/>
        <rFont val="メイリオ"/>
        <family val="2"/>
        <charset val="128"/>
        <scheme val="minor"/>
      </rPr>
      <t>れいとうビーム</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</si>
  <si>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</si>
  <si>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</si>
  <si>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あなをほる,</t>
    </r>
    <r>
      <rPr>
        <sz val="10"/>
        <color rgb="FFF3D23F"/>
        <rFont val="メイリオ"/>
        <family val="2"/>
        <charset val="128"/>
        <scheme val="minor"/>
      </rPr>
      <t>かみなり</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</si>
  <si>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</si>
  <si>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じゃれつく,</t>
    </r>
    <r>
      <rPr>
        <sz val="10"/>
        <color rgb="FFF3D23F"/>
        <rFont val="メイリオ"/>
        <family val="2"/>
        <charset val="128"/>
        <scheme val="minor"/>
      </rPr>
      <t>ワイルドボルト</t>
    </r>
  </si>
  <si>
    <r>
      <t>シャドークロー,</t>
    </r>
    <r>
      <rPr>
        <sz val="10"/>
        <color rgb="FF585365"/>
        <rFont val="メイリオ"/>
        <family val="2"/>
        <charset val="128"/>
        <scheme val="minor"/>
      </rPr>
      <t>だましうち</t>
    </r>
  </si>
  <si>
    <r>
      <t>アイアンヘッド,</t>
    </r>
    <r>
      <rPr>
        <sz val="10"/>
        <color rgb="FFC4B589"/>
        <rFont val="メイリオ"/>
        <family val="2"/>
        <charset val="128"/>
        <scheme val="minor"/>
      </rPr>
      <t>がんせきふうじ</t>
    </r>
  </si>
  <si>
    <r>
      <t>サイコキネシス,</t>
    </r>
    <r>
      <rPr>
        <sz val="10"/>
        <color rgb="FFCA4067"/>
        <rFont val="メイリオ"/>
        <family val="2"/>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</si>
  <si>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</si>
  <si>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585365"/>
        <rFont val="メイリオ"/>
        <family val="2"/>
        <charset val="128"/>
        <scheme val="minor"/>
      </rPr>
      <t>ふいうち</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</si>
  <si>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</si>
  <si>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</si>
  <si>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あなをほる,</t>
    </r>
    <r>
      <rPr>
        <sz val="10"/>
        <color rgb="FFCA4067"/>
        <rFont val="メイリオ"/>
        <family val="2"/>
        <charset val="128"/>
        <scheme val="minor"/>
      </rPr>
      <t>インファイト</t>
    </r>
  </si>
  <si>
    <r>
      <t>まとわりつく,</t>
    </r>
    <r>
      <rPr>
        <sz val="10"/>
        <color rgb="FFA364C3"/>
        <rFont val="メイリオ"/>
        <family val="2"/>
        <charset val="128"/>
        <scheme val="minor"/>
      </rPr>
      <t>ようかいえき</t>
    </r>
  </si>
  <si>
    <r>
      <t>おどろかす,</t>
    </r>
    <r>
      <rPr>
        <sz val="10"/>
        <color rgb="FF585365"/>
        <rFont val="メイリオ"/>
        <family val="2"/>
        <charset val="128"/>
        <scheme val="minor"/>
      </rPr>
      <t>だましうち</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</si>
  <si>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</si>
  <si>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</si>
  <si>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きあいだま,</t>
    </r>
    <r>
      <rPr>
        <sz val="10"/>
        <color rgb="FFF3D23F"/>
        <rFont val="メイリオ"/>
        <family val="2"/>
        <charset val="128"/>
        <scheme val="minor"/>
      </rPr>
      <t>でんじほう</t>
    </r>
  </si>
  <si>
    <r>
      <t>きあいだま,</t>
    </r>
    <r>
      <rPr>
        <sz val="10"/>
        <color rgb="FF8C949C"/>
        <rFont val="メイリオ"/>
        <family val="2"/>
        <charset val="128"/>
        <scheme val="minor"/>
      </rPr>
      <t>はかいこうせん</t>
    </r>
  </si>
  <si>
    <r>
      <t>エアスラッシュ,</t>
    </r>
    <r>
      <rPr>
        <sz val="10"/>
        <color rgb="FF0B68B9"/>
        <rFont val="メイリオ"/>
        <family val="2"/>
        <charset val="128"/>
        <scheme val="minor"/>
      </rPr>
      <t>ドラゴンテール</t>
    </r>
  </si>
  <si>
    <r>
      <t>かみつく</t>
    </r>
    <r>
      <rPr>
        <sz val="10"/>
        <color rgb="FF0B68B9"/>
        <rFont val="メイリオ"/>
        <family val="3"/>
        <charset val="128"/>
        <scheme val="minor"/>
      </rPr>
      <t>,</t>
    </r>
    <r>
      <rPr>
        <sz val="10"/>
        <color rgb="FF5EB654"/>
        <rFont val="メイリオ"/>
        <family val="3"/>
        <charset val="128"/>
        <scheme val="minor"/>
      </rPr>
      <t>はっぱカッター</t>
    </r>
  </si>
  <si>
    <r>
      <t>いわくだき,</t>
    </r>
    <r>
      <rPr>
        <sz val="10"/>
        <color rgb="FFFF9D54"/>
        <rFont val="メイリオ"/>
        <family val="2"/>
        <charset val="128"/>
        <scheme val="minor"/>
      </rPr>
      <t>ほのおのうず</t>
    </r>
  </si>
  <si>
    <r>
      <t>こごえるかぜ,</t>
    </r>
    <r>
      <rPr>
        <sz val="10"/>
        <color rgb="FF90AADE"/>
        <rFont val="メイリオ"/>
        <family val="2"/>
        <charset val="128"/>
        <scheme val="minor"/>
      </rPr>
      <t>ドリルくちばし</t>
    </r>
  </si>
  <si>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</si>
  <si>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がんせきふうじ,げんしのちから,</t>
    </r>
    <r>
      <rPr>
        <sz val="10"/>
        <color rgb="FF508698"/>
        <rFont val="メイリオ"/>
        <family val="2"/>
        <charset val="128"/>
        <scheme val="minor"/>
      </rPr>
      <t>ヘビーボンバー</t>
    </r>
  </si>
  <si>
    <r>
      <t>エナジーボール,</t>
    </r>
    <r>
      <rPr>
        <sz val="10"/>
        <color rgb="FF90BE2F"/>
        <rFont val="メイリオ"/>
        <family val="2"/>
        <charset val="128"/>
        <scheme val="minor"/>
      </rPr>
      <t>むしのさざめき</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</si>
  <si>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</si>
  <si>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</si>
  <si>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</si>
  <si>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</si>
  <si>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10まんボルト,</t>
    </r>
    <r>
      <rPr>
        <sz val="10"/>
        <color rgb="FFEC90E2"/>
        <rFont val="メイリオ"/>
        <family val="2"/>
        <charset val="128"/>
        <scheme val="minor"/>
      </rPr>
      <t>じゃれつく</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</si>
  <si>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</si>
  <si>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</si>
  <si>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</si>
  <si>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</si>
  <si>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</si>
  <si>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でんじほう,</t>
    </r>
    <r>
      <rPr>
        <sz val="10"/>
        <color rgb="FF8C949C"/>
        <rFont val="メイリオ"/>
        <family val="2"/>
        <charset val="128"/>
        <scheme val="minor"/>
      </rPr>
      <t>はかいこうせん</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</si>
  <si>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</si>
  <si>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</si>
  <si>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</si>
  <si>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</si>
  <si>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</si>
  <si>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</si>
  <si>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</si>
  <si>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</si>
  <si>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</si>
  <si>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</si>
  <si>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</si>
  <si>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</si>
  <si>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</si>
  <si>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</si>
  <si>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</si>
  <si>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</si>
  <si>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</si>
  <si>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</si>
  <si>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</si>
  <si>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</si>
  <si>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</si>
  <si>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</si>
  <si>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</si>
  <si>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</si>
  <si>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</si>
  <si>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</si>
  <si>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</si>
  <si>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ΔCPM</t>
    <phoneticPr fontId="3"/>
  </si>
  <si>
    <t>※CPM表はPL降順</t>
    <rPh sb="4" eb="5">
      <t>ヒョウ</t>
    </rPh>
    <rPh sb="8" eb="10">
      <t>コウジュン</t>
    </rPh>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</si>
  <si>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</si>
  <si>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</si>
  <si>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</si>
  <si>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</si>
  <si>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</si>
  <si>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</si>
  <si>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</si>
  <si>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</si>
  <si>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</si>
  <si>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</si>
  <si>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</si>
  <si>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</si>
  <si>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</si>
  <si>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</si>
  <si>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</si>
  <si>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</si>
  <si>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</si>
  <si>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</si>
  <si>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</si>
  <si>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</si>
  <si>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</si>
  <si>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</si>
  <si>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</si>
  <si>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</si>
  <si>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</si>
  <si>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</si>
  <si>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</si>
  <si>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</si>
  <si>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</si>
  <si>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</si>
  <si>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</si>
  <si>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</si>
  <si>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</si>
  <si>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</si>
  <si>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</si>
  <si>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</si>
  <si>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</si>
  <si>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</si>
  <si>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</si>
  <si>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</si>
  <si>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</si>
  <si>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耐久力_pr</t>
    <phoneticPr fontId="3"/>
  </si>
  <si>
    <t>cDPS_prg</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</si>
  <si>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</si>
  <si>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</si>
  <si>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</si>
  <si>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cDPS_gs*</t>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</si>
  <si>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</si>
  <si>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</si>
  <si>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</si>
  <si>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</si>
  <si>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</si>
  <si>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</si>
  <si>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</si>
  <si>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</si>
  <si>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</si>
  <si>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</si>
  <si>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</si>
  <si>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</si>
  <si>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</si>
  <si>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</si>
  <si>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r>
      <t>ゴースト</t>
    </r>
    <r>
      <rPr>
        <sz val="10"/>
        <color theme="1"/>
        <rFont val="メイリオ"/>
        <family val="2"/>
        <charset val="128"/>
        <scheme val="minor"/>
      </rPr>
      <t>,</t>
    </r>
    <r>
      <rPr>
        <sz val="10"/>
        <color rgb="FFFF9D54"/>
        <rFont val="メイリオ"/>
        <family val="2"/>
        <charset val="128"/>
        <scheme val="minor"/>
      </rPr>
      <t>ほのお</t>
    </r>
  </si>
  <si>
    <r>
      <t>ゴースト</t>
    </r>
    <r>
      <rPr>
        <sz val="10"/>
        <color theme="1"/>
        <rFont val="メイリオ"/>
        <family val="2"/>
        <charset val="128"/>
        <scheme val="minor"/>
      </rPr>
      <t>,</t>
    </r>
    <r>
      <rPr>
        <sz val="10"/>
        <color rgb="FF71C7BA"/>
        <rFont val="メイリオ"/>
        <family val="2"/>
        <charset val="128"/>
        <scheme val="minor"/>
      </rPr>
      <t>こおり</t>
    </r>
  </si>
  <si>
    <r>
      <t>ゴースト</t>
    </r>
    <r>
      <rPr>
        <sz val="10"/>
        <color theme="1"/>
        <rFont val="メイリオ"/>
        <family val="2"/>
        <charset val="128"/>
        <scheme val="minor"/>
      </rPr>
      <t>,</t>
    </r>
    <r>
      <rPr>
        <sz val="10"/>
        <color rgb="FF0B68B9"/>
        <rFont val="メイリオ"/>
        <family val="2"/>
        <charset val="128"/>
        <scheme val="minor"/>
      </rPr>
      <t>ドラゴン</t>
    </r>
  </si>
  <si>
    <r>
      <t>ゴースト</t>
    </r>
    <r>
      <rPr>
        <sz val="10"/>
        <color theme="1"/>
        <rFont val="メイリオ"/>
        <family val="2"/>
        <charset val="128"/>
        <scheme val="minor"/>
      </rPr>
      <t>,</t>
    </r>
    <r>
      <rPr>
        <sz val="10"/>
        <color rgb="FF585365"/>
        <rFont val="メイリオ"/>
        <family val="2"/>
        <charset val="128"/>
        <scheme val="minor"/>
      </rPr>
      <t>あく</t>
    </r>
  </si>
  <si>
    <r>
      <t>はがね</t>
    </r>
    <r>
      <rPr>
        <sz val="10"/>
        <color theme="1"/>
        <rFont val="メイリオ"/>
        <family val="2"/>
        <charset val="128"/>
        <scheme val="minor"/>
      </rPr>
      <t>,</t>
    </r>
    <r>
      <rPr>
        <sz val="10"/>
        <color rgb="FFFF9D54"/>
        <rFont val="メイリオ"/>
        <family val="2"/>
        <charset val="128"/>
        <scheme val="minor"/>
      </rPr>
      <t>ほのお</t>
    </r>
  </si>
  <si>
    <r>
      <t>はがね</t>
    </r>
    <r>
      <rPr>
        <sz val="10"/>
        <color theme="1"/>
        <rFont val="メイリオ"/>
        <family val="2"/>
        <charset val="128"/>
        <scheme val="minor"/>
      </rPr>
      <t>,</t>
    </r>
    <r>
      <rPr>
        <sz val="10"/>
        <color rgb="FF4F90D1"/>
        <rFont val="メイリオ"/>
        <family val="2"/>
        <charset val="128"/>
        <scheme val="minor"/>
      </rPr>
      <t>みず</t>
    </r>
  </si>
  <si>
    <r>
      <t>はがね</t>
    </r>
    <r>
      <rPr>
        <sz val="10"/>
        <color theme="1"/>
        <rFont val="メイリオ"/>
        <family val="2"/>
        <charset val="128"/>
        <scheme val="minor"/>
      </rPr>
      <t>,</t>
    </r>
    <r>
      <rPr>
        <sz val="10"/>
        <color rgb="FFF3D23F"/>
        <rFont val="メイリオ"/>
        <family val="2"/>
        <charset val="128"/>
        <scheme val="minor"/>
      </rPr>
      <t>でんき</t>
    </r>
  </si>
  <si>
    <r>
      <t>はがね</t>
    </r>
    <r>
      <rPr>
        <sz val="10"/>
        <color theme="1"/>
        <rFont val="メイリオ"/>
        <family val="2"/>
        <charset val="128"/>
        <scheme val="minor"/>
      </rPr>
      <t>,</t>
    </r>
    <r>
      <rPr>
        <sz val="10"/>
        <color rgb="FF5EB654"/>
        <rFont val="メイリオ"/>
        <family val="2"/>
        <charset val="128"/>
        <scheme val="minor"/>
      </rPr>
      <t>くさ</t>
    </r>
  </si>
  <si>
    <r>
      <t>はがね</t>
    </r>
    <r>
      <rPr>
        <sz val="10"/>
        <color theme="1"/>
        <rFont val="メイリオ"/>
        <family val="2"/>
        <charset val="128"/>
        <scheme val="minor"/>
      </rPr>
      <t>,</t>
    </r>
    <r>
      <rPr>
        <sz val="10"/>
        <color rgb="FF71C7BA"/>
        <rFont val="メイリオ"/>
        <family val="2"/>
        <charset val="128"/>
        <scheme val="minor"/>
      </rPr>
      <t>こおり</t>
    </r>
  </si>
  <si>
    <r>
      <t>はがね</t>
    </r>
    <r>
      <rPr>
        <sz val="10"/>
        <color theme="1"/>
        <rFont val="メイリオ"/>
        <family val="2"/>
        <charset val="128"/>
        <scheme val="minor"/>
      </rPr>
      <t>,</t>
    </r>
    <r>
      <rPr>
        <sz val="10"/>
        <color rgb="FFF86E73"/>
        <rFont val="メイリオ"/>
        <family val="2"/>
        <charset val="128"/>
        <scheme val="minor"/>
      </rPr>
      <t>エスパー</t>
    </r>
  </si>
  <si>
    <r>
      <t>はがね</t>
    </r>
    <r>
      <rPr>
        <sz val="10"/>
        <color theme="1"/>
        <rFont val="メイリオ"/>
        <family val="2"/>
        <charset val="128"/>
        <scheme val="minor"/>
      </rPr>
      <t>,</t>
    </r>
    <r>
      <rPr>
        <sz val="10"/>
        <color rgb="FF0B68B9"/>
        <rFont val="メイリオ"/>
        <family val="2"/>
        <charset val="128"/>
        <scheme val="minor"/>
      </rPr>
      <t>ドラゴン</t>
    </r>
  </si>
  <si>
    <r>
      <t>はがね</t>
    </r>
    <r>
      <rPr>
        <sz val="10"/>
        <color theme="1"/>
        <rFont val="メイリオ"/>
        <family val="2"/>
        <charset val="128"/>
        <scheme val="minor"/>
      </rPr>
      <t>,</t>
    </r>
    <r>
      <rPr>
        <sz val="10"/>
        <color rgb="FFEC90E2"/>
        <rFont val="メイリオ"/>
        <family val="2"/>
        <charset val="128"/>
        <scheme val="minor"/>
      </rPr>
      <t>フェアリー</t>
    </r>
  </si>
  <si>
    <r>
      <t>ほのお</t>
    </r>
    <r>
      <rPr>
        <sz val="10"/>
        <color theme="1"/>
        <rFont val="メイリオ"/>
        <family val="2"/>
        <charset val="128"/>
        <scheme val="minor"/>
      </rPr>
      <t>,</t>
    </r>
    <r>
      <rPr>
        <sz val="10"/>
        <color rgb="FF585365"/>
        <rFont val="メイリオ"/>
        <family val="2"/>
        <charset val="128"/>
        <scheme val="minor"/>
      </rPr>
      <t>あく</t>
    </r>
  </si>
  <si>
    <r>
      <t>みず</t>
    </r>
    <r>
      <rPr>
        <sz val="10"/>
        <color theme="1"/>
        <rFont val="メイリオ"/>
        <family val="2"/>
        <charset val="128"/>
        <scheme val="minor"/>
      </rPr>
      <t>,</t>
    </r>
    <r>
      <rPr>
        <sz val="10"/>
        <color rgb="FFF3D23F"/>
        <rFont val="メイリオ"/>
        <family val="2"/>
        <charset val="128"/>
        <scheme val="minor"/>
      </rPr>
      <t>でんき</t>
    </r>
  </si>
  <si>
    <r>
      <t>みず</t>
    </r>
    <r>
      <rPr>
        <sz val="10"/>
        <color theme="1"/>
        <rFont val="メイリオ"/>
        <family val="2"/>
        <charset val="128"/>
        <scheme val="minor"/>
      </rPr>
      <t>,</t>
    </r>
    <r>
      <rPr>
        <sz val="10"/>
        <color rgb="FF5EB654"/>
        <rFont val="メイリオ"/>
        <family val="2"/>
        <charset val="128"/>
        <scheme val="minor"/>
      </rPr>
      <t>くさ</t>
    </r>
  </si>
  <si>
    <r>
      <t>みず</t>
    </r>
    <r>
      <rPr>
        <sz val="10"/>
        <color theme="1"/>
        <rFont val="メイリオ"/>
        <family val="2"/>
        <charset val="128"/>
        <scheme val="minor"/>
      </rPr>
      <t>,</t>
    </r>
    <r>
      <rPr>
        <sz val="10"/>
        <color rgb="FF71C7BA"/>
        <rFont val="メイリオ"/>
        <family val="2"/>
        <charset val="128"/>
        <scheme val="minor"/>
      </rPr>
      <t>こおり</t>
    </r>
  </si>
  <si>
    <r>
      <t>みず</t>
    </r>
    <r>
      <rPr>
        <sz val="10"/>
        <color theme="1"/>
        <rFont val="メイリオ"/>
        <family val="2"/>
        <charset val="128"/>
        <scheme val="minor"/>
      </rPr>
      <t>,</t>
    </r>
    <r>
      <rPr>
        <sz val="10"/>
        <color rgb="FFF86E73"/>
        <rFont val="メイリオ"/>
        <family val="2"/>
        <charset val="128"/>
        <scheme val="minor"/>
      </rPr>
      <t>エスパー</t>
    </r>
  </si>
  <si>
    <r>
      <t>みず</t>
    </r>
    <r>
      <rPr>
        <sz val="10"/>
        <color theme="1"/>
        <rFont val="メイリオ"/>
        <family val="2"/>
        <charset val="128"/>
        <scheme val="minor"/>
      </rPr>
      <t>,</t>
    </r>
    <r>
      <rPr>
        <sz val="10"/>
        <color rgb="FF0B68B9"/>
        <rFont val="メイリオ"/>
        <family val="2"/>
        <charset val="128"/>
        <scheme val="minor"/>
      </rPr>
      <t>ドラゴン</t>
    </r>
  </si>
  <si>
    <r>
      <t>みず</t>
    </r>
    <r>
      <rPr>
        <sz val="10"/>
        <color theme="1"/>
        <rFont val="メイリオ"/>
        <family val="2"/>
        <charset val="128"/>
        <scheme val="minor"/>
      </rPr>
      <t>,</t>
    </r>
    <r>
      <rPr>
        <sz val="10"/>
        <color rgb="FF585365"/>
        <rFont val="メイリオ"/>
        <family val="2"/>
        <charset val="128"/>
        <scheme val="minor"/>
      </rPr>
      <t>あく</t>
    </r>
  </si>
  <si>
    <r>
      <t>みず</t>
    </r>
    <r>
      <rPr>
        <sz val="10"/>
        <color theme="1"/>
        <rFont val="メイリオ"/>
        <family val="2"/>
        <charset val="128"/>
        <scheme val="minor"/>
      </rPr>
      <t>,</t>
    </r>
    <r>
      <rPr>
        <sz val="10"/>
        <color rgb="FFEC90E2"/>
        <rFont val="メイリオ"/>
        <family val="2"/>
        <charset val="128"/>
        <scheme val="minor"/>
      </rPr>
      <t>フェアリー</t>
    </r>
  </si>
  <si>
    <r>
      <t>でんき</t>
    </r>
    <r>
      <rPr>
        <sz val="10"/>
        <color theme="1"/>
        <rFont val="メイリオ"/>
        <family val="2"/>
        <charset val="128"/>
        <scheme val="minor"/>
      </rPr>
      <t>,</t>
    </r>
    <r>
      <rPr>
        <sz val="10"/>
        <color rgb="FFF86E73"/>
        <rFont val="メイリオ"/>
        <family val="2"/>
        <charset val="128"/>
        <scheme val="minor"/>
      </rPr>
      <t>エスパー</t>
    </r>
  </si>
  <si>
    <r>
      <t>くさ</t>
    </r>
    <r>
      <rPr>
        <sz val="10"/>
        <color theme="1"/>
        <rFont val="メイリオ"/>
        <family val="2"/>
        <charset val="128"/>
        <scheme val="minor"/>
      </rPr>
      <t>,</t>
    </r>
    <r>
      <rPr>
        <sz val="10"/>
        <color rgb="FF71C7BA"/>
        <rFont val="メイリオ"/>
        <family val="2"/>
        <charset val="128"/>
        <scheme val="minor"/>
      </rPr>
      <t>こおり</t>
    </r>
  </si>
  <si>
    <r>
      <t>くさ</t>
    </r>
    <r>
      <rPr>
        <sz val="10"/>
        <color theme="1"/>
        <rFont val="メイリオ"/>
        <family val="2"/>
        <charset val="128"/>
        <scheme val="minor"/>
      </rPr>
      <t>,</t>
    </r>
    <r>
      <rPr>
        <sz val="10"/>
        <color rgb="FFF86E73"/>
        <rFont val="メイリオ"/>
        <family val="2"/>
        <charset val="128"/>
        <scheme val="minor"/>
      </rPr>
      <t>エスパー</t>
    </r>
  </si>
  <si>
    <r>
      <t>くさ</t>
    </r>
    <r>
      <rPr>
        <sz val="10"/>
        <color theme="1"/>
        <rFont val="メイリオ"/>
        <family val="2"/>
        <charset val="128"/>
        <scheme val="minor"/>
      </rPr>
      <t>,</t>
    </r>
    <r>
      <rPr>
        <sz val="10"/>
        <color rgb="FF0B68B9"/>
        <rFont val="メイリオ"/>
        <family val="2"/>
        <charset val="128"/>
        <scheme val="minor"/>
      </rPr>
      <t>ドラゴン</t>
    </r>
  </si>
  <si>
    <r>
      <t>くさ</t>
    </r>
    <r>
      <rPr>
        <sz val="10"/>
        <color theme="1"/>
        <rFont val="メイリオ"/>
        <family val="2"/>
        <charset val="128"/>
        <scheme val="minor"/>
      </rPr>
      <t>,</t>
    </r>
    <r>
      <rPr>
        <sz val="10"/>
        <color rgb="FF585365"/>
        <rFont val="メイリオ"/>
        <family val="2"/>
        <charset val="128"/>
        <scheme val="minor"/>
      </rPr>
      <t>あく</t>
    </r>
  </si>
  <si>
    <r>
      <t>こおり</t>
    </r>
    <r>
      <rPr>
        <sz val="10"/>
        <color theme="1"/>
        <rFont val="メイリオ"/>
        <family val="2"/>
        <charset val="128"/>
        <scheme val="minor"/>
      </rPr>
      <t>,</t>
    </r>
    <r>
      <rPr>
        <sz val="10"/>
        <color rgb="FFF86E73"/>
        <rFont val="メイリオ"/>
        <family val="2"/>
        <charset val="128"/>
        <scheme val="minor"/>
      </rPr>
      <t>エスパー</t>
    </r>
  </si>
  <si>
    <r>
      <t>こおり</t>
    </r>
    <r>
      <rPr>
        <sz val="10"/>
        <color theme="1"/>
        <rFont val="メイリオ"/>
        <family val="2"/>
        <charset val="128"/>
        <scheme val="minor"/>
      </rPr>
      <t>,</t>
    </r>
    <r>
      <rPr>
        <sz val="10"/>
        <color rgb="FF585365"/>
        <rFont val="メイリオ"/>
        <family val="2"/>
        <charset val="128"/>
        <scheme val="minor"/>
      </rPr>
      <t>あく</t>
    </r>
  </si>
  <si>
    <r>
      <t>こおり</t>
    </r>
    <r>
      <rPr>
        <sz val="10"/>
        <color theme="1"/>
        <rFont val="メイリオ"/>
        <family val="2"/>
        <charset val="128"/>
        <scheme val="minor"/>
      </rPr>
      <t>,</t>
    </r>
    <r>
      <rPr>
        <sz val="10"/>
        <color rgb="FFEC90E2"/>
        <rFont val="メイリオ"/>
        <family val="2"/>
        <charset val="128"/>
        <scheme val="minor"/>
      </rPr>
      <t>フェアリー</t>
    </r>
  </si>
  <si>
    <r>
      <t>エスパー</t>
    </r>
    <r>
      <rPr>
        <sz val="10"/>
        <color theme="1"/>
        <rFont val="メイリオ"/>
        <family val="2"/>
        <charset val="128"/>
        <scheme val="minor"/>
      </rPr>
      <t>,</t>
    </r>
    <r>
      <rPr>
        <sz val="10"/>
        <color rgb="FF0B68B9"/>
        <rFont val="メイリオ"/>
        <family val="2"/>
        <charset val="128"/>
        <scheme val="minor"/>
      </rPr>
      <t>ドラゴン</t>
    </r>
  </si>
  <si>
    <r>
      <t>エスパー</t>
    </r>
    <r>
      <rPr>
        <sz val="10"/>
        <color theme="1"/>
        <rFont val="メイリオ"/>
        <family val="2"/>
        <charset val="128"/>
        <scheme val="minor"/>
      </rPr>
      <t>,</t>
    </r>
    <r>
      <rPr>
        <sz val="10"/>
        <color rgb="FFEC90E2"/>
        <rFont val="メイリオ"/>
        <family val="2"/>
        <charset val="128"/>
        <scheme val="minor"/>
      </rPr>
      <t>フェアリー</t>
    </r>
  </si>
  <si>
    <r>
      <t>ドラゴン</t>
    </r>
    <r>
      <rPr>
        <sz val="10"/>
        <color theme="1"/>
        <rFont val="メイリオ"/>
        <family val="2"/>
        <charset val="128"/>
        <scheme val="minor"/>
      </rPr>
      <t>,</t>
    </r>
    <r>
      <rPr>
        <sz val="10"/>
        <color rgb="FF585365"/>
        <rFont val="メイリオ"/>
        <family val="2"/>
        <charset val="128"/>
        <scheme val="minor"/>
      </rPr>
      <t>あく</t>
    </r>
  </si>
  <si>
    <r>
      <t>ゴ</t>
    </r>
    <r>
      <rPr>
        <sz val="10"/>
        <color rgb="FF585365"/>
        <rFont val="メイリオ"/>
        <family val="2"/>
        <charset val="128"/>
        <scheme val="minor"/>
      </rPr>
      <t>あ</t>
    </r>
  </si>
  <si>
    <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</si>
  <si>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90BE2F"/>
        <rFont val="メイリオ"/>
        <family val="2"/>
        <charset val="128"/>
        <scheme val="minor"/>
      </rPr>
      <t>む</t>
    </r>
  </si>
  <si>
    <r>
      <t>ノ</t>
    </r>
    <r>
      <rPr>
        <sz val="10"/>
        <color rgb="FFCA4067"/>
        <rFont val="メイリオ"/>
        <family val="2"/>
        <charset val="128"/>
        <scheme val="minor"/>
      </rPr>
      <t>か</t>
    </r>
  </si>
  <si>
    <r>
      <t>じ</t>
    </r>
    <r>
      <rPr>
        <sz val="10"/>
        <color rgb="FF5367A9"/>
        <rFont val="メイリオ"/>
        <family val="2"/>
        <charset val="128"/>
        <scheme val="minor"/>
      </rPr>
      <t>ゴ</t>
    </r>
    <r>
      <rPr>
        <sz val="10"/>
        <color rgb="FFFF9D54"/>
        <rFont val="メイリオ"/>
        <family val="2"/>
        <charset val="128"/>
        <scheme val="minor"/>
      </rPr>
      <t>ほ</t>
    </r>
    <r>
      <rPr>
        <sz val="10"/>
        <color rgb="FF585365"/>
        <rFont val="メイリオ"/>
        <family val="2"/>
        <charset val="128"/>
        <scheme val="minor"/>
      </rPr>
      <t>あ</t>
    </r>
  </si>
  <si>
    <r>
      <t>じ</t>
    </r>
    <r>
      <rPr>
        <sz val="10"/>
        <color rgb="FFC4B589"/>
        <rFont val="メイリオ"/>
        <family val="2"/>
        <charset val="128"/>
        <scheme val="minor"/>
      </rPr>
      <t>い</t>
    </r>
    <r>
      <rPr>
        <sz val="10"/>
        <color rgb="FF5367A9"/>
        <rFont val="メイリオ"/>
        <family val="2"/>
        <charset val="128"/>
        <scheme val="minor"/>
      </rPr>
      <t>ゴ</t>
    </r>
    <r>
      <rPr>
        <sz val="10"/>
        <color rgb="FF4F90D1"/>
        <rFont val="メイリオ"/>
        <family val="2"/>
        <charset val="128"/>
        <scheme val="minor"/>
      </rPr>
      <t>み</t>
    </r>
    <r>
      <rPr>
        <sz val="10"/>
        <color rgb="FF585365"/>
        <rFont val="メイリオ"/>
        <family val="2"/>
        <charset val="128"/>
        <scheme val="minor"/>
      </rPr>
      <t>あ</t>
    </r>
  </si>
  <si>
    <r>
      <t>ひ</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</si>
  <si>
    <r>
      <t>ど</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</si>
  <si>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ノ</t>
    </r>
    <r>
      <rPr>
        <sz val="10"/>
        <color rgb="FFCA4067"/>
        <rFont val="メイリオ"/>
        <family val="2"/>
        <charset val="128"/>
        <scheme val="minor"/>
      </rPr>
      <t>か</t>
    </r>
    <r>
      <rPr>
        <sz val="10"/>
        <color rgb="FF90BE2F"/>
        <rFont val="メイリオ"/>
        <family val="2"/>
        <charset val="128"/>
        <scheme val="minor"/>
      </rPr>
      <t>む</t>
    </r>
  </si>
  <si>
    <r>
      <t>じ</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</si>
  <si>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585365"/>
        <rFont val="メイリオ"/>
        <family val="2"/>
        <charset val="128"/>
        <scheme val="minor"/>
      </rPr>
      <t>あ</t>
    </r>
  </si>
  <si>
    <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</si>
  <si>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か</t>
    </r>
    <r>
      <rPr>
        <sz val="10"/>
        <color rgb="FFA364C3"/>
        <rFont val="メイリオ"/>
        <family val="2"/>
        <charset val="128"/>
        <scheme val="minor"/>
      </rPr>
      <t>ど</t>
    </r>
    <r>
      <rPr>
        <sz val="10"/>
        <color rgb="FF90BE2F"/>
        <rFont val="メイリオ"/>
        <family val="2"/>
        <charset val="128"/>
        <scheme val="minor"/>
      </rPr>
      <t>む</t>
    </r>
    <r>
      <rPr>
        <sz val="10"/>
        <color rgb="FF71C7BA"/>
        <rFont val="メイリオ"/>
        <family val="2"/>
        <charset val="128"/>
        <scheme val="minor"/>
      </rPr>
      <t>こ</t>
    </r>
  </si>
  <si>
    <r>
      <t>ど</t>
    </r>
    <r>
      <rPr>
        <sz val="10"/>
        <color rgb="FFF86E73"/>
        <rFont val="メイリオ"/>
        <family val="2"/>
        <charset val="128"/>
        <scheme val="minor"/>
      </rPr>
      <t>エ</t>
    </r>
  </si>
  <si>
    <r>
      <t>ゴ</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</si>
  <si>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86E73"/>
        <rFont val="メイリオ"/>
        <family val="2"/>
        <charset val="128"/>
        <scheme val="minor"/>
      </rPr>
      <t>エ</t>
    </r>
  </si>
  <si>
    <r>
      <t>ど</t>
    </r>
    <r>
      <rPr>
        <sz val="10"/>
        <color rgb="FF90BE2F"/>
        <rFont val="メイリオ"/>
        <family val="2"/>
        <charset val="128"/>
        <scheme val="minor"/>
      </rPr>
      <t>む</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</si>
  <si>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</si>
  <si>
    <r>
      <t>か</t>
    </r>
    <r>
      <rPr>
        <sz val="10"/>
        <color rgb="FFA364C3"/>
        <rFont val="メイリオ"/>
        <family val="2"/>
        <charset val="128"/>
        <scheme val="minor"/>
      </rPr>
      <t>ど</t>
    </r>
  </si>
  <si>
    <r>
      <t>ノ</t>
    </r>
    <r>
      <rPr>
        <sz val="10"/>
        <color rgb="FFF86E73"/>
        <rFont val="メイリオ"/>
        <family val="2"/>
        <charset val="128"/>
        <scheme val="minor"/>
      </rPr>
      <t>エ</t>
    </r>
  </si>
  <si>
    <r>
      <t>か</t>
    </r>
    <r>
      <rPr>
        <sz val="10"/>
        <color rgb="FFD47948"/>
        <rFont val="メイリオ"/>
        <family val="2"/>
        <charset val="128"/>
        <scheme val="minor"/>
      </rPr>
      <t>じ</t>
    </r>
    <r>
      <rPr>
        <sz val="10"/>
        <color rgb="FFFF9D54"/>
        <rFont val="メイリオ"/>
        <family val="2"/>
        <charset val="128"/>
        <scheme val="minor"/>
      </rPr>
      <t>ほ</t>
    </r>
  </si>
  <si>
    <r>
      <t>ゴ</t>
    </r>
    <r>
      <rPr>
        <sz val="10"/>
        <color rgb="FF4F90D1"/>
        <rFont val="メイリオ"/>
        <family val="2"/>
        <charset val="128"/>
        <scheme val="minor"/>
      </rPr>
      <t>み</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</si>
  <si>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</si>
  <si>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か</t>
    </r>
    <r>
      <rPr>
        <sz val="10"/>
        <color rgb="FF4F90D1"/>
        <rFont val="メイリオ"/>
        <family val="2"/>
        <charset val="128"/>
        <scheme val="minor"/>
      </rPr>
      <t>み</t>
    </r>
  </si>
  <si>
    <r>
      <t>い</t>
    </r>
    <r>
      <rPr>
        <sz val="10"/>
        <color rgb="FF5367A9"/>
        <rFont val="メイリオ"/>
        <family val="2"/>
        <charset val="128"/>
        <scheme val="minor"/>
      </rPr>
      <t>ゴ</t>
    </r>
    <r>
      <rPr>
        <sz val="10"/>
        <color rgb="FFFF9D54"/>
        <rFont val="メイリオ"/>
        <family val="2"/>
        <charset val="128"/>
        <scheme val="minor"/>
      </rPr>
      <t>ほ</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</si>
  <si>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F86E73"/>
        <rFont val="メイリオ"/>
        <family val="2"/>
        <charset val="128"/>
        <scheme val="minor"/>
      </rPr>
      <t>エ</t>
    </r>
    <r>
      <rPr>
        <sz val="10"/>
        <color rgb="FF0B68B9"/>
        <rFont val="メイリオ"/>
        <family val="2"/>
        <charset val="128"/>
        <scheme val="minor"/>
      </rPr>
      <t>ド</t>
    </r>
  </si>
  <si>
    <r>
      <t>ど</t>
    </r>
    <r>
      <rPr>
        <sz val="10"/>
        <color rgb="FF90BE2F"/>
        <rFont val="メイリオ"/>
        <family val="2"/>
        <charset val="128"/>
        <scheme val="minor"/>
      </rPr>
      <t>む</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</si>
  <si>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か</t>
    </r>
    <r>
      <rPr>
        <sz val="10"/>
        <color rgb="FFD47948"/>
        <rFont val="メイリオ"/>
        <family val="2"/>
        <charset val="128"/>
        <scheme val="minor"/>
      </rPr>
      <t>じ</t>
    </r>
    <r>
      <rPr>
        <sz val="10"/>
        <color rgb="FFF3D23F"/>
        <rFont val="メイリオ"/>
        <family val="2"/>
        <charset val="128"/>
        <scheme val="minor"/>
      </rPr>
      <t>で</t>
    </r>
  </si>
  <si>
    <r>
      <t>ゴ</t>
    </r>
    <r>
      <rPr>
        <sz val="10"/>
        <color rgb="FFFF9D54"/>
        <rFont val="メイリオ"/>
        <family val="2"/>
        <charset val="128"/>
        <scheme val="minor"/>
      </rPr>
      <t>ほ</t>
    </r>
    <r>
      <rPr>
        <sz val="10"/>
        <color rgb="FF5EB654"/>
        <rFont val="メイリオ"/>
        <family val="2"/>
        <charset val="128"/>
        <scheme val="minor"/>
      </rPr>
      <t>く</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</si>
  <si>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4F90D1"/>
        <rFont val="メイリオ"/>
        <family val="2"/>
        <charset val="128"/>
        <scheme val="minor"/>
      </rPr>
      <t>み</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</si>
  <si>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508698"/>
        <rFont val="メイリオ"/>
        <family val="2"/>
        <charset val="128"/>
        <scheme val="minor"/>
      </rPr>
      <t>は</t>
    </r>
    <r>
      <rPr>
        <sz val="10"/>
        <color rgb="FF71C7BA"/>
        <rFont val="メイリオ"/>
        <family val="2"/>
        <charset val="128"/>
        <scheme val="minor"/>
      </rPr>
      <t>こ</t>
    </r>
  </si>
  <si>
    <r>
      <t>か</t>
    </r>
    <r>
      <rPr>
        <sz val="10"/>
        <color rgb="FFFF9D54"/>
        <rFont val="メイリオ"/>
        <family val="2"/>
        <charset val="128"/>
        <scheme val="minor"/>
      </rPr>
      <t>ほ</t>
    </r>
  </si>
  <si>
    <r>
      <t>ゴ</t>
    </r>
    <r>
      <rPr>
        <sz val="10"/>
        <color rgb="FF4F90D1"/>
        <rFont val="メイリオ"/>
        <family val="2"/>
        <charset val="128"/>
        <scheme val="minor"/>
      </rPr>
      <t>み</t>
    </r>
    <r>
      <rPr>
        <sz val="10"/>
        <color rgb="FF585365"/>
        <rFont val="メイリオ"/>
        <family val="2"/>
        <charset val="128"/>
        <scheme val="minor"/>
      </rPr>
      <t>あ</t>
    </r>
  </si>
  <si>
    <r>
      <t>ノ</t>
    </r>
    <r>
      <rPr>
        <sz val="10"/>
        <color rgb="FF90BE2F"/>
        <rFont val="メイリオ"/>
        <family val="2"/>
        <charset val="128"/>
        <scheme val="minor"/>
      </rPr>
      <t>む</t>
    </r>
    <r>
      <rPr>
        <sz val="10"/>
        <color rgb="FFC4B589"/>
        <rFont val="メイリオ"/>
        <family val="2"/>
        <charset val="128"/>
        <scheme val="minor"/>
      </rPr>
      <t>い</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</si>
  <si>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90AADE"/>
        <rFont val="メイリオ"/>
        <family val="2"/>
        <charset val="128"/>
        <scheme val="minor"/>
      </rPr>
      <t>ひ</t>
    </r>
    <r>
      <rPr>
        <sz val="10"/>
        <color rgb="FF508698"/>
        <rFont val="メイリオ"/>
        <family val="2"/>
        <charset val="128"/>
        <scheme val="minor"/>
      </rPr>
      <t>は</t>
    </r>
  </si>
  <si>
    <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71C7BA"/>
        <rFont val="メイリオ"/>
        <family val="2"/>
        <charset val="128"/>
        <scheme val="minor"/>
      </rPr>
      <t>こ</t>
    </r>
    <r>
      <rPr>
        <sz val="10"/>
        <color rgb="FF585365"/>
        <rFont val="メイリオ"/>
        <family val="2"/>
        <charset val="128"/>
        <scheme val="minor"/>
      </rPr>
      <t>あ</t>
    </r>
  </si>
  <si>
    <r>
      <t>ノ</t>
    </r>
    <r>
      <rPr>
        <sz val="10"/>
        <color rgb="FFA364C3"/>
        <rFont val="メイリオ"/>
        <family val="2"/>
        <charset val="128"/>
        <scheme val="minor"/>
      </rPr>
      <t>ど</t>
    </r>
    <r>
      <rPr>
        <sz val="10"/>
        <color rgb="FFC4B589"/>
        <rFont val="メイリオ"/>
        <family val="2"/>
        <charset val="128"/>
        <scheme val="minor"/>
      </rPr>
      <t>い</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</si>
  <si>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い</t>
    </r>
    <r>
      <rPr>
        <sz val="10"/>
        <color rgb="FF5367A9"/>
        <rFont val="メイリオ"/>
        <family val="2"/>
        <charset val="128"/>
        <scheme val="minor"/>
      </rPr>
      <t>ゴ</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</si>
  <si>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</si>
  <si>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71C7BA"/>
        <rFont val="メイリオ"/>
        <family val="2"/>
        <charset val="128"/>
        <scheme val="minor"/>
      </rPr>
      <t>こ</t>
    </r>
  </si>
  <si>
    <r>
      <t>か</t>
    </r>
    <r>
      <rPr>
        <sz val="10"/>
        <color rgb="FF90BE2F"/>
        <rFont val="メイリオ"/>
        <family val="2"/>
        <charset val="128"/>
        <scheme val="minor"/>
      </rPr>
      <t>む</t>
    </r>
    <r>
      <rPr>
        <sz val="10"/>
        <color rgb="FF4F90D1"/>
        <rFont val="メイリオ"/>
        <family val="2"/>
        <charset val="128"/>
        <scheme val="minor"/>
      </rPr>
      <t>み</t>
    </r>
    <r>
      <rPr>
        <sz val="10"/>
        <color rgb="FFF3D23F"/>
        <rFont val="メイリオ"/>
        <family val="2"/>
        <charset val="128"/>
        <scheme val="minor"/>
      </rPr>
      <t>で</t>
    </r>
  </si>
  <si>
    <r>
      <t>ノ</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</si>
  <si>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D47948"/>
        <rFont val="メイリオ"/>
        <family val="2"/>
        <charset val="128"/>
        <scheme val="minor"/>
      </rPr>
      <t>じ</t>
    </r>
  </si>
  <si>
    <r>
      <t>ゴ</t>
    </r>
    <r>
      <rPr>
        <sz val="10"/>
        <color rgb="FFFF9D54"/>
        <rFont val="メイリオ"/>
        <family val="2"/>
        <charset val="128"/>
        <scheme val="minor"/>
      </rPr>
      <t>ほ</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</si>
  <si>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F86E73"/>
        <rFont val="メイリオ"/>
        <family val="2"/>
        <charset val="128"/>
        <scheme val="minor"/>
      </rPr>
      <t>エ</t>
    </r>
  </si>
  <si>
    <r>
      <t>じ</t>
    </r>
    <r>
      <rPr>
        <sz val="10"/>
        <color rgb="FFFF9D54"/>
        <rFont val="メイリオ"/>
        <family val="2"/>
        <charset val="128"/>
        <scheme val="minor"/>
      </rPr>
      <t>ほ</t>
    </r>
  </si>
  <si>
    <r>
      <t>か</t>
    </r>
    <r>
      <rPr>
        <sz val="10"/>
        <color rgb="FF5367A9"/>
        <rFont val="メイリオ"/>
        <family val="2"/>
        <charset val="128"/>
        <scheme val="minor"/>
      </rPr>
      <t>ゴ</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</si>
  <si>
    <r>
      <t>ノ</t>
    </r>
    <r>
      <rPr>
        <sz val="10"/>
        <color rgb="FFA364C3"/>
        <rFont val="メイリオ"/>
        <family val="2"/>
        <charset val="128"/>
        <scheme val="minor"/>
      </rPr>
      <t>ど</t>
    </r>
    <r>
      <rPr>
        <sz val="10"/>
        <color rgb="FF90AADE"/>
        <rFont val="メイリオ"/>
        <family val="2"/>
        <charset val="128"/>
        <scheme val="minor"/>
      </rPr>
      <t>ひ</t>
    </r>
    <r>
      <rPr>
        <sz val="10"/>
        <color rgb="FFC4B589"/>
        <rFont val="メイリオ"/>
        <family val="2"/>
        <charset val="128"/>
        <scheme val="minor"/>
      </rPr>
      <t>い</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585365"/>
        <rFont val="メイリオ"/>
        <family val="2"/>
        <charset val="128"/>
        <scheme val="minor"/>
      </rPr>
      <t>あ</t>
    </r>
    <r>
      <rPr>
        <sz val="10"/>
        <color rgb="FFEC90E2"/>
        <rFont val="メイリオ"/>
        <family val="2"/>
        <charset val="128"/>
        <scheme val="minor"/>
      </rPr>
      <t>フ</t>
    </r>
  </si>
  <si>
    <r>
      <t>じ</t>
    </r>
    <r>
      <rPr>
        <sz val="10"/>
        <color rgb="FFC4B589"/>
        <rFont val="メイリオ"/>
        <family val="2"/>
        <charset val="128"/>
        <scheme val="minor"/>
      </rPr>
      <t>い</t>
    </r>
    <r>
      <rPr>
        <sz val="10"/>
        <color rgb="FF4F90D1"/>
        <rFont val="メイリオ"/>
        <family val="2"/>
        <charset val="128"/>
        <scheme val="minor"/>
      </rPr>
      <t>み</t>
    </r>
  </si>
  <si>
    <r>
      <t>ノ</t>
    </r>
    <r>
      <rPr>
        <sz val="10"/>
        <color rgb="FFCA4067"/>
        <rFont val="メイリオ"/>
        <family val="2"/>
        <charset val="128"/>
        <scheme val="minor"/>
      </rPr>
      <t>か</t>
    </r>
    <r>
      <rPr>
        <sz val="10"/>
        <color rgb="FFA364C3"/>
        <rFont val="メイリオ"/>
        <family val="2"/>
        <charset val="128"/>
        <scheme val="minor"/>
      </rPr>
      <t>ど</t>
    </r>
    <r>
      <rPr>
        <sz val="10"/>
        <color rgb="FF90AADE"/>
        <rFont val="メイリオ"/>
        <family val="2"/>
        <charset val="128"/>
        <scheme val="minor"/>
      </rPr>
      <t>ひ</t>
    </r>
    <r>
      <rPr>
        <sz val="10"/>
        <color rgb="FF5367A9"/>
        <rFont val="メイリオ"/>
        <family val="2"/>
        <charset val="128"/>
        <scheme val="minor"/>
      </rPr>
      <t>ゴ</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</si>
  <si>
    <r>
      <t>む</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</si>
  <si>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か</t>
    </r>
    <r>
      <rPr>
        <sz val="10"/>
        <color rgb="FFD47948"/>
        <rFont val="メイリオ"/>
        <family val="2"/>
        <charset val="128"/>
        <scheme val="minor"/>
      </rPr>
      <t>じ</t>
    </r>
    <r>
      <rPr>
        <sz val="10"/>
        <color rgb="FFC4B589"/>
        <rFont val="メイリオ"/>
        <family val="2"/>
        <charset val="128"/>
        <scheme val="minor"/>
      </rPr>
      <t>い</t>
    </r>
    <r>
      <rPr>
        <sz val="10"/>
        <color rgb="FF4F90D1"/>
        <rFont val="メイリオ"/>
        <family val="2"/>
        <charset val="128"/>
        <scheme val="minor"/>
      </rPr>
      <t>み</t>
    </r>
  </si>
  <si>
    <r>
      <t>ノ</t>
    </r>
    <r>
      <rPr>
        <sz val="10"/>
        <color rgb="FFA364C3"/>
        <rFont val="メイリオ"/>
        <family val="2"/>
        <charset val="128"/>
        <scheme val="minor"/>
      </rPr>
      <t>ど</t>
    </r>
    <r>
      <rPr>
        <sz val="10"/>
        <color rgb="FF90AADE"/>
        <rFont val="メイリオ"/>
        <family val="2"/>
        <charset val="128"/>
        <scheme val="minor"/>
      </rPr>
      <t>ひ</t>
    </r>
    <r>
      <rPr>
        <sz val="10"/>
        <color rgb="FF90BE2F"/>
        <rFont val="メイリオ"/>
        <family val="2"/>
        <charset val="128"/>
        <scheme val="minor"/>
      </rPr>
      <t>む</t>
    </r>
    <r>
      <rPr>
        <sz val="10"/>
        <color rgb="FFF3D23F"/>
        <rFont val="メイリオ"/>
        <family val="2"/>
        <charset val="128"/>
        <scheme val="minor"/>
      </rPr>
      <t>で</t>
    </r>
    <r>
      <rPr>
        <sz val="10"/>
        <color rgb="FF0B68B9"/>
        <rFont val="メイリオ"/>
        <family val="2"/>
        <charset val="128"/>
        <scheme val="minor"/>
      </rPr>
      <t>ド</t>
    </r>
    <r>
      <rPr>
        <sz val="10"/>
        <color rgb="FFEC90E2"/>
        <rFont val="メイリオ"/>
        <family val="2"/>
        <charset val="128"/>
        <scheme val="minor"/>
      </rPr>
      <t>フ</t>
    </r>
  </si>
  <si>
    <r>
      <t>ゴ</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585365"/>
        <rFont val="メイリオ"/>
        <family val="2"/>
        <charset val="128"/>
        <scheme val="minor"/>
      </rPr>
      <t>あ</t>
    </r>
  </si>
  <si>
    <r>
      <t>で</t>
    </r>
    <r>
      <rPr>
        <sz val="10"/>
        <color rgb="FF5EB654"/>
        <rFont val="メイリオ"/>
        <family val="2"/>
        <charset val="128"/>
        <scheme val="minor"/>
      </rPr>
      <t>く</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</si>
  <si>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</si>
  <si>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</si>
  <si>
    <r>
      <t>じ</t>
    </r>
    <r>
      <rPr>
        <sz val="10"/>
        <color rgb="FF5EB654"/>
        <rFont val="メイリオ"/>
        <family val="2"/>
        <charset val="128"/>
        <scheme val="minor"/>
      </rPr>
      <t>く</t>
    </r>
  </si>
  <si>
    <r>
      <t>ノ</t>
    </r>
    <r>
      <rPr>
        <sz val="10"/>
        <color rgb="FFCA4067"/>
        <rFont val="メイリオ"/>
        <family val="2"/>
        <charset val="128"/>
        <scheme val="minor"/>
      </rPr>
      <t>か</t>
    </r>
    <r>
      <rPr>
        <sz val="10"/>
        <color rgb="FFA364C3"/>
        <rFont val="メイリオ"/>
        <family val="2"/>
        <charset val="128"/>
        <scheme val="minor"/>
      </rPr>
      <t>ど</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</si>
  <si>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ひ</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</si>
  <si>
    <r>
      <t>ど</t>
    </r>
    <r>
      <rPr>
        <sz val="10"/>
        <color rgb="FF90AADE"/>
        <rFont val="メイリオ"/>
        <family val="2"/>
        <charset val="128"/>
        <scheme val="minor"/>
      </rPr>
      <t>ひ</t>
    </r>
    <r>
      <rPr>
        <sz val="10"/>
        <color rgb="FF90BE2F"/>
        <rFont val="メイリオ"/>
        <family val="2"/>
        <charset val="128"/>
        <scheme val="minor"/>
      </rPr>
      <t>む</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</si>
  <si>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</si>
  <si>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じ</t>
    </r>
    <r>
      <rPr>
        <sz val="10"/>
        <color rgb="FF508698"/>
        <rFont val="メイリオ"/>
        <family val="2"/>
        <charset val="128"/>
        <scheme val="minor"/>
      </rPr>
      <t>は</t>
    </r>
  </si>
  <si>
    <r>
      <t>か</t>
    </r>
    <r>
      <rPr>
        <sz val="10"/>
        <color rgb="FFC4B589"/>
        <rFont val="メイリオ"/>
        <family val="2"/>
        <charset val="128"/>
        <scheme val="minor"/>
      </rPr>
      <t>い</t>
    </r>
    <r>
      <rPr>
        <sz val="10"/>
        <color rgb="FFF3D23F"/>
        <rFont val="メイリオ"/>
        <family val="2"/>
        <charset val="128"/>
        <scheme val="minor"/>
      </rPr>
      <t>で</t>
    </r>
    <r>
      <rPr>
        <sz val="10"/>
        <color rgb="FF5EB654"/>
        <rFont val="メイリオ"/>
        <family val="2"/>
        <charset val="128"/>
        <scheme val="minor"/>
      </rPr>
      <t>く</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</si>
  <si>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</si>
  <si>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む</t>
    </r>
    <r>
      <rPr>
        <sz val="10"/>
        <color rgb="FF5367A9"/>
        <rFont val="メイリオ"/>
        <family val="2"/>
        <charset val="128"/>
        <scheme val="minor"/>
      </rPr>
      <t>ゴ</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</si>
  <si>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0B68B9"/>
        <rFont val="メイリオ"/>
        <family val="2"/>
        <charset val="128"/>
        <scheme val="minor"/>
      </rPr>
      <t>ド</t>
    </r>
    <r>
      <rPr>
        <sz val="10"/>
        <color rgb="FFEC90E2"/>
        <rFont val="メイリオ"/>
        <family val="2"/>
        <charset val="128"/>
        <scheme val="minor"/>
      </rPr>
      <t>フ</t>
    </r>
  </si>
  <si>
    <r>
      <t>か</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F86E73"/>
        <rFont val="メイリオ"/>
        <family val="2"/>
        <charset val="128"/>
        <scheme val="minor"/>
      </rPr>
      <t>エ</t>
    </r>
  </si>
  <si>
    <r>
      <t>ド</t>
    </r>
    <r>
      <rPr>
        <sz val="10"/>
        <color rgb="FFEC90E2"/>
        <rFont val="メイリオ"/>
        <family val="2"/>
        <charset val="128"/>
        <scheme val="minor"/>
      </rPr>
      <t>フ</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</si>
  <si>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585365"/>
        <rFont val="メイリオ"/>
        <family val="2"/>
        <charset val="128"/>
        <scheme val="minor"/>
      </rPr>
      <t>あ</t>
    </r>
  </si>
  <si>
    <r>
      <t>ほ</t>
    </r>
    <r>
      <rPr>
        <sz val="10"/>
        <color rgb="FF4F90D1"/>
        <rFont val="メイリオ"/>
        <family val="2"/>
        <charset val="128"/>
        <scheme val="minor"/>
      </rPr>
      <t>み</t>
    </r>
  </si>
  <si>
    <r>
      <t>か</t>
    </r>
    <r>
      <rPr>
        <sz val="10"/>
        <color rgb="FF90BE2F"/>
        <rFont val="メイリオ"/>
        <family val="2"/>
        <charset val="128"/>
        <scheme val="minor"/>
      </rPr>
      <t>む</t>
    </r>
    <r>
      <rPr>
        <sz val="10"/>
        <color rgb="FFF3D23F"/>
        <rFont val="メイリオ"/>
        <family val="2"/>
        <charset val="128"/>
        <scheme val="minor"/>
      </rPr>
      <t>で</t>
    </r>
    <r>
      <rPr>
        <sz val="10"/>
        <color rgb="FF5EB654"/>
        <rFont val="メイリオ"/>
        <family val="2"/>
        <charset val="128"/>
        <scheme val="minor"/>
      </rPr>
      <t>く</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</si>
  <si>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0B68B9"/>
        <rFont val="メイリオ"/>
        <family val="2"/>
        <charset val="128"/>
        <scheme val="minor"/>
      </rPr>
      <t>ド</t>
    </r>
  </si>
  <si>
    <r>
      <t>ゴ</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585365"/>
        <rFont val="メイリオ"/>
        <family val="2"/>
        <charset val="128"/>
        <scheme val="minor"/>
      </rPr>
      <t>あ</t>
    </r>
  </si>
  <si>
    <r>
      <t>ど</t>
    </r>
    <r>
      <rPr>
        <sz val="10"/>
        <color rgb="FFF3D23F"/>
        <rFont val="メイリオ"/>
        <family val="2"/>
        <charset val="128"/>
        <scheme val="minor"/>
      </rPr>
      <t>で</t>
    </r>
    <r>
      <rPr>
        <sz val="10"/>
        <color rgb="FF5EB654"/>
        <rFont val="メイリオ"/>
        <family val="2"/>
        <charset val="128"/>
        <scheme val="minor"/>
      </rPr>
      <t>く</t>
    </r>
  </si>
  <si>
    <r>
      <t>ノ</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EC90E2"/>
        <rFont val="メイリオ"/>
        <family val="2"/>
        <charset val="128"/>
        <scheme val="minor"/>
      </rPr>
      <t>フ</t>
    </r>
  </si>
  <si>
    <r>
      <t>か</t>
    </r>
    <r>
      <rPr>
        <sz val="10"/>
        <color rgb="FF90BE2F"/>
        <rFont val="メイリオ"/>
        <family val="2"/>
        <charset val="128"/>
        <scheme val="minor"/>
      </rPr>
      <t>む</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585365"/>
        <rFont val="メイリオ"/>
        <family val="2"/>
        <charset val="128"/>
        <scheme val="minor"/>
      </rPr>
      <t>あ</t>
    </r>
  </si>
  <si>
    <r>
      <t>ノ</t>
    </r>
    <r>
      <rPr>
        <sz val="10"/>
        <color rgb="FFCA4067"/>
        <rFont val="メイリオ"/>
        <family val="2"/>
        <charset val="128"/>
        <scheme val="minor"/>
      </rPr>
      <t>か</t>
    </r>
    <r>
      <rPr>
        <sz val="10"/>
        <color rgb="FFA364C3"/>
        <rFont val="メイリオ"/>
        <family val="2"/>
        <charset val="128"/>
        <scheme val="minor"/>
      </rPr>
      <t>ど</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4F90D1"/>
        <rFont val="メイリオ"/>
        <family val="2"/>
        <charset val="128"/>
        <scheme val="minor"/>
      </rPr>
      <t>み</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</si>
  <si>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ひ</t>
    </r>
    <r>
      <rPr>
        <sz val="10"/>
        <color rgb="FF508698"/>
        <rFont val="メイリオ"/>
        <family val="2"/>
        <charset val="128"/>
        <scheme val="minor"/>
      </rPr>
      <t>は</t>
    </r>
    <r>
      <rPr>
        <sz val="10"/>
        <color rgb="FFF3D23F"/>
        <rFont val="メイリオ"/>
        <family val="2"/>
        <charset val="128"/>
        <scheme val="minor"/>
      </rPr>
      <t>で</t>
    </r>
  </si>
  <si>
    <r>
      <t>じ</t>
    </r>
    <r>
      <rPr>
        <sz val="10"/>
        <color rgb="FF90BE2F"/>
        <rFont val="メイリオ"/>
        <family val="2"/>
        <charset val="128"/>
        <scheme val="minor"/>
      </rPr>
      <t>む</t>
    </r>
    <r>
      <rPr>
        <sz val="10"/>
        <color rgb="FF5367A9"/>
        <rFont val="メイリオ"/>
        <family val="2"/>
        <charset val="128"/>
        <scheme val="minor"/>
      </rPr>
      <t>ゴ</t>
    </r>
    <r>
      <rPr>
        <sz val="10"/>
        <color rgb="FF585365"/>
        <rFont val="メイリオ"/>
        <family val="2"/>
        <charset val="128"/>
        <scheme val="minor"/>
      </rPr>
      <t>あ</t>
    </r>
  </si>
  <si>
    <r>
      <t>ノ</t>
    </r>
    <r>
      <rPr>
        <sz val="10"/>
        <color rgb="FFA364C3"/>
        <rFont val="メイリオ"/>
        <family val="2"/>
        <charset val="128"/>
        <scheme val="minor"/>
      </rPr>
      <t>ど</t>
    </r>
    <r>
      <rPr>
        <sz val="10"/>
        <color rgb="FFC4B589"/>
        <rFont val="メイリオ"/>
        <family val="2"/>
        <charset val="128"/>
        <scheme val="minor"/>
      </rPr>
      <t>い</t>
    </r>
    <r>
      <rPr>
        <sz val="10"/>
        <color rgb="FFFF9D54"/>
        <rFont val="メイリオ"/>
        <family val="2"/>
        <charset val="128"/>
        <scheme val="minor"/>
      </rPr>
      <t>ほ</t>
    </r>
    <r>
      <rPr>
        <sz val="10"/>
        <color rgb="FF4F90D1"/>
        <rFont val="メイリオ"/>
        <family val="2"/>
        <charset val="128"/>
        <scheme val="minor"/>
      </rPr>
      <t>み</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</si>
  <si>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90AADE"/>
        <rFont val="メイリオ"/>
        <family val="2"/>
        <charset val="128"/>
        <scheme val="minor"/>
      </rPr>
      <t>ひ</t>
    </r>
    <r>
      <rPr>
        <sz val="10"/>
        <color rgb="FF508698"/>
        <rFont val="メイリオ"/>
        <family val="2"/>
        <charset val="128"/>
        <scheme val="minor"/>
      </rPr>
      <t>は</t>
    </r>
    <r>
      <rPr>
        <sz val="10"/>
        <color rgb="FFF3D23F"/>
        <rFont val="メイリオ"/>
        <family val="2"/>
        <charset val="128"/>
        <scheme val="minor"/>
      </rPr>
      <t>で</t>
    </r>
    <r>
      <rPr>
        <sz val="10"/>
        <color rgb="FFF86E73"/>
        <rFont val="メイリオ"/>
        <family val="2"/>
        <charset val="128"/>
        <scheme val="minor"/>
      </rPr>
      <t>エ</t>
    </r>
  </si>
  <si>
    <r>
      <t>ど</t>
    </r>
    <r>
      <rPr>
        <sz val="10"/>
        <color rgb="FF90AADE"/>
        <rFont val="メイリオ"/>
        <family val="2"/>
        <charset val="128"/>
        <scheme val="minor"/>
      </rPr>
      <t>ひ</t>
    </r>
    <r>
      <rPr>
        <sz val="10"/>
        <color rgb="FF90BE2F"/>
        <rFont val="メイリオ"/>
        <family val="2"/>
        <charset val="128"/>
        <scheme val="minor"/>
      </rPr>
      <t>む</t>
    </r>
    <r>
      <rPr>
        <sz val="10"/>
        <color rgb="FFFF9D54"/>
        <rFont val="メイリオ"/>
        <family val="2"/>
        <charset val="128"/>
        <scheme val="minor"/>
      </rPr>
      <t>ほ</t>
    </r>
    <r>
      <rPr>
        <sz val="10"/>
        <color rgb="FF71C7BA"/>
        <rFont val="メイリオ"/>
        <family val="2"/>
        <charset val="128"/>
        <scheme val="minor"/>
      </rPr>
      <t>こ</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</si>
  <si>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</si>
  <si>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か</t>
    </r>
    <r>
      <rPr>
        <sz val="10"/>
        <color rgb="FFA364C3"/>
        <rFont val="メイリオ"/>
        <family val="2"/>
        <charset val="128"/>
        <scheme val="minor"/>
      </rPr>
      <t>ど</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</si>
  <si>
    <r>
      <t>ノ</t>
    </r>
    <r>
      <rPr>
        <sz val="10"/>
        <color rgb="FF5367A9"/>
        <rFont val="メイリオ"/>
        <family val="2"/>
        <charset val="128"/>
        <scheme val="minor"/>
      </rPr>
      <t>ゴ</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</si>
  <si>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ど</t>
    </r>
    <r>
      <rPr>
        <sz val="10"/>
        <color rgb="FF90AADE"/>
        <rFont val="メイリオ"/>
        <family val="2"/>
        <charset val="128"/>
        <scheme val="minor"/>
      </rPr>
      <t>ひ</t>
    </r>
    <r>
      <rPr>
        <sz val="10"/>
        <color rgb="FF5367A9"/>
        <rFont val="メイリオ"/>
        <family val="2"/>
        <charset val="128"/>
        <scheme val="minor"/>
      </rPr>
      <t>ゴ</t>
    </r>
    <r>
      <rPr>
        <sz val="10"/>
        <color rgb="FFFF9D54"/>
        <rFont val="メイリオ"/>
        <family val="2"/>
        <charset val="128"/>
        <scheme val="minor"/>
      </rPr>
      <t>ほ</t>
    </r>
    <r>
      <rPr>
        <sz val="10"/>
        <color rgb="FF71C7BA"/>
        <rFont val="メイリオ"/>
        <family val="2"/>
        <charset val="128"/>
        <scheme val="minor"/>
      </rPr>
      <t>こ</t>
    </r>
    <r>
      <rPr>
        <sz val="10"/>
        <color rgb="FF585365"/>
        <rFont val="メイリオ"/>
        <family val="2"/>
        <charset val="128"/>
        <scheme val="minor"/>
      </rPr>
      <t>あ</t>
    </r>
  </si>
  <si>
    <r>
      <t>ノ</t>
    </r>
    <r>
      <rPr>
        <sz val="10"/>
        <color rgb="FFC4B589"/>
        <rFont val="メイリオ"/>
        <family val="2"/>
        <charset val="128"/>
        <scheme val="minor"/>
      </rPr>
      <t>い</t>
    </r>
    <r>
      <rPr>
        <sz val="10"/>
        <color rgb="FF508698"/>
        <rFont val="メイリオ"/>
        <family val="2"/>
        <charset val="128"/>
        <scheme val="minor"/>
      </rPr>
      <t>は</t>
    </r>
    <r>
      <rPr>
        <sz val="10"/>
        <color rgb="FF0B68B9"/>
        <rFont val="メイリオ"/>
        <family val="2"/>
        <charset val="128"/>
        <scheme val="minor"/>
      </rPr>
      <t>ド</t>
    </r>
    <r>
      <rPr>
        <sz val="10"/>
        <color rgb="FFEC90E2"/>
        <rFont val="メイリオ"/>
        <family val="2"/>
        <charset val="128"/>
        <scheme val="minor"/>
      </rPr>
      <t>フ</t>
    </r>
  </si>
  <si>
    <r>
      <t>か</t>
    </r>
    <r>
      <rPr>
        <sz val="10"/>
        <color rgb="FFD47948"/>
        <rFont val="メイリオ"/>
        <family val="2"/>
        <charset val="128"/>
        <scheme val="minor"/>
      </rPr>
      <t>じ</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</si>
  <si>
    <r>
      <t>ど</t>
    </r>
    <r>
      <rPr>
        <sz val="10"/>
        <color rgb="FF90AADE"/>
        <rFont val="メイリオ"/>
        <family val="2"/>
        <charset val="128"/>
        <scheme val="minor"/>
      </rPr>
      <t>ひ</t>
    </r>
    <r>
      <rPr>
        <sz val="10"/>
        <color rgb="FF90BE2F"/>
        <rFont val="メイリオ"/>
        <family val="2"/>
        <charset val="128"/>
        <scheme val="minor"/>
      </rPr>
      <t>む</t>
    </r>
    <r>
      <rPr>
        <sz val="10"/>
        <color rgb="FF0B68B9"/>
        <rFont val="メイリオ"/>
        <family val="2"/>
        <charset val="128"/>
        <scheme val="minor"/>
      </rPr>
      <t>ド</t>
    </r>
    <r>
      <rPr>
        <sz val="10"/>
        <color rgb="FFEC90E2"/>
        <rFont val="メイリオ"/>
        <family val="2"/>
        <charset val="128"/>
        <scheme val="minor"/>
      </rPr>
      <t>フ</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</si>
  <si>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F86E73"/>
        <rFont val="メイリオ"/>
        <family val="2"/>
        <charset val="128"/>
        <scheme val="minor"/>
      </rPr>
      <t>エ</t>
    </r>
    <r>
      <rPr>
        <sz val="10"/>
        <color rgb="FF585365"/>
        <rFont val="メイリオ"/>
        <family val="2"/>
        <charset val="128"/>
        <scheme val="minor"/>
      </rPr>
      <t>あ</t>
    </r>
  </si>
  <si>
    <r>
      <t>み</t>
    </r>
    <r>
      <rPr>
        <sz val="10"/>
        <color rgb="FFF3D23F"/>
        <rFont val="メイリオ"/>
        <family val="2"/>
        <charset val="128"/>
        <scheme val="minor"/>
      </rPr>
      <t>で</t>
    </r>
    <r>
      <rPr>
        <sz val="10"/>
        <color rgb="FF5EB654"/>
        <rFont val="メイリオ"/>
        <family val="2"/>
        <charset val="128"/>
        <scheme val="minor"/>
      </rPr>
      <t>く</t>
    </r>
  </si>
  <si>
    <r>
      <t>か</t>
    </r>
    <r>
      <rPr>
        <sz val="10"/>
        <color rgb="FFA364C3"/>
        <rFont val="メイリオ"/>
        <family val="2"/>
        <charset val="128"/>
        <scheme val="minor"/>
      </rPr>
      <t>ど</t>
    </r>
    <r>
      <rPr>
        <sz val="10"/>
        <color rgb="FF90AADE"/>
        <rFont val="メイリオ"/>
        <family val="2"/>
        <charset val="128"/>
        <scheme val="minor"/>
      </rPr>
      <t>ひ</t>
    </r>
    <r>
      <rPr>
        <sz val="10"/>
        <color rgb="FFFF9D54"/>
        <rFont val="メイリオ"/>
        <family val="2"/>
        <charset val="128"/>
        <scheme val="minor"/>
      </rPr>
      <t>ほ</t>
    </r>
    <r>
      <rPr>
        <sz val="10"/>
        <color rgb="FF71C7BA"/>
        <rFont val="メイリオ"/>
        <family val="2"/>
        <charset val="128"/>
        <scheme val="minor"/>
      </rPr>
      <t>こ</t>
    </r>
    <r>
      <rPr>
        <sz val="10"/>
        <color rgb="FFEC90E2"/>
        <rFont val="メイリオ"/>
        <family val="2"/>
        <charset val="128"/>
        <scheme val="minor"/>
      </rPr>
      <t>フ</t>
    </r>
  </si>
  <si>
    <r>
      <t>ノ</t>
    </r>
    <r>
      <rPr>
        <sz val="10"/>
        <color rgb="FFC4B589"/>
        <rFont val="メイリオ"/>
        <family val="2"/>
        <charset val="128"/>
        <scheme val="minor"/>
      </rPr>
      <t>い</t>
    </r>
    <r>
      <rPr>
        <sz val="10"/>
        <color rgb="FF508698"/>
        <rFont val="メイリオ"/>
        <family val="2"/>
        <charset val="128"/>
        <scheme val="minor"/>
      </rPr>
      <t>は</t>
    </r>
    <r>
      <rPr>
        <sz val="10"/>
        <color rgb="FF0B68B9"/>
        <rFont val="メイリオ"/>
        <family val="2"/>
        <charset val="128"/>
        <scheme val="minor"/>
      </rPr>
      <t>ド</t>
    </r>
  </si>
  <si>
    <r>
      <t>じ</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</si>
  <si>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か</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</si>
  <si>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</si>
  <si>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585365"/>
        <rFont val="メイリオ"/>
        <family val="2"/>
        <charset val="128"/>
        <scheme val="minor"/>
      </rPr>
      <t>あ</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</si>
  <si>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0B68B9"/>
        <rFont val="メイリオ"/>
        <family val="2"/>
        <charset val="128"/>
        <scheme val="minor"/>
      </rPr>
      <t>ド</t>
    </r>
    <r>
      <rPr>
        <sz val="10"/>
        <color rgb="FFEC90E2"/>
        <rFont val="メイリオ"/>
        <family val="2"/>
        <charset val="128"/>
        <scheme val="minor"/>
      </rPr>
      <t>フ</t>
    </r>
  </si>
  <si>
    <r>
      <t>こ</t>
    </r>
    <r>
      <rPr>
        <sz val="10"/>
        <color rgb="FFF86E73"/>
        <rFont val="メイリオ"/>
        <family val="2"/>
        <charset val="128"/>
        <scheme val="minor"/>
      </rPr>
      <t>エ</t>
    </r>
  </si>
  <si>
    <r>
      <t>む</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</si>
  <si>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0B68B9"/>
        <rFont val="メイリオ"/>
        <family val="2"/>
        <charset val="128"/>
        <scheme val="minor"/>
      </rPr>
      <t>ド</t>
    </r>
  </si>
  <si>
    <r>
      <t>ゴ</t>
    </r>
    <r>
      <rPr>
        <sz val="10"/>
        <color rgb="FF71C7BA"/>
        <rFont val="メイリオ"/>
        <family val="2"/>
        <charset val="128"/>
        <scheme val="minor"/>
      </rPr>
      <t>こ</t>
    </r>
    <r>
      <rPr>
        <sz val="10"/>
        <color rgb="FF585365"/>
        <rFont val="メイリオ"/>
        <family val="2"/>
        <charset val="128"/>
        <scheme val="minor"/>
      </rPr>
      <t>あ</t>
    </r>
  </si>
  <si>
    <r>
      <t>ど</t>
    </r>
    <r>
      <rPr>
        <sz val="10"/>
        <color rgb="FFC4B589"/>
        <rFont val="メイリオ"/>
        <family val="2"/>
        <charset val="128"/>
        <scheme val="minor"/>
      </rPr>
      <t>い</t>
    </r>
    <r>
      <rPr>
        <sz val="10"/>
        <color rgb="FFFF9D54"/>
        <rFont val="メイリオ"/>
        <family val="2"/>
        <charset val="128"/>
        <scheme val="minor"/>
      </rPr>
      <t>ほ</t>
    </r>
  </si>
  <si>
    <r>
      <t>ノ</t>
    </r>
    <r>
      <rPr>
        <sz val="10"/>
        <color rgb="FFCA4067"/>
        <rFont val="メイリオ"/>
        <family val="2"/>
        <charset val="128"/>
        <scheme val="minor"/>
      </rPr>
      <t>か</t>
    </r>
    <r>
      <rPr>
        <sz val="10"/>
        <color rgb="FFD47948"/>
        <rFont val="メイリオ"/>
        <family val="2"/>
        <charset val="128"/>
        <scheme val="minor"/>
      </rPr>
      <t>じ</t>
    </r>
    <r>
      <rPr>
        <sz val="10"/>
        <color rgb="FF90AADE"/>
        <rFont val="メイリオ"/>
        <family val="2"/>
        <charset val="128"/>
        <scheme val="minor"/>
      </rPr>
      <t>ひ</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EC90E2"/>
        <rFont val="メイリオ"/>
        <family val="2"/>
        <charset val="128"/>
        <scheme val="minor"/>
      </rPr>
      <t>フ</t>
    </r>
  </si>
  <si>
    <r>
      <t>む</t>
    </r>
    <r>
      <rPr>
        <sz val="10"/>
        <color rgb="FF71C7BA"/>
        <rFont val="メイリオ"/>
        <family val="2"/>
        <charset val="128"/>
        <scheme val="minor"/>
      </rPr>
      <t>こ</t>
    </r>
    <r>
      <rPr>
        <sz val="10"/>
        <color rgb="FF585365"/>
        <rFont val="メイリオ"/>
        <family val="2"/>
        <charset val="128"/>
        <scheme val="minor"/>
      </rPr>
      <t>あ</t>
    </r>
  </si>
  <si>
    <r>
      <t>む</t>
    </r>
    <r>
      <rPr>
        <sz val="10"/>
        <color rgb="FF5367A9"/>
        <rFont val="メイリオ"/>
        <family val="2"/>
        <charset val="128"/>
        <scheme val="minor"/>
      </rPr>
      <t>ゴ</t>
    </r>
    <r>
      <rPr>
        <sz val="10"/>
        <color rgb="FF585365"/>
        <rFont val="メイリオ"/>
        <family val="2"/>
        <charset val="128"/>
        <scheme val="minor"/>
      </rPr>
      <t>あ</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</si>
  <si>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</si>
  <si>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F86E73"/>
        <rFont val="メイリオ"/>
        <family val="2"/>
        <charset val="128"/>
        <scheme val="minor"/>
      </rPr>
      <t>エ</t>
    </r>
  </si>
  <si>
    <r>
      <t>む</t>
    </r>
    <r>
      <rPr>
        <sz val="10"/>
        <color rgb="FF5367A9"/>
        <rFont val="メイリオ"/>
        <family val="2"/>
        <charset val="128"/>
        <scheme val="minor"/>
      </rPr>
      <t>ゴ</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</si>
  <si>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</si>
  <si>
    <r>
      <t>か</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</si>
  <si>
    <r>
      <t>ど</t>
    </r>
    <r>
      <rPr>
        <sz val="10"/>
        <color rgb="FF5367A9"/>
        <rFont val="メイリオ"/>
        <family val="2"/>
        <charset val="128"/>
        <scheme val="minor"/>
      </rPr>
      <t>ゴ</t>
    </r>
    <r>
      <rPr>
        <sz val="10"/>
        <color rgb="FF508698"/>
        <rFont val="メイリオ"/>
        <family val="2"/>
        <charset val="128"/>
        <scheme val="minor"/>
      </rPr>
      <t>は</t>
    </r>
  </si>
  <si>
    <r>
      <t>ノ</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585365"/>
        <rFont val="メイリオ"/>
        <family val="2"/>
        <charset val="128"/>
        <scheme val="minor"/>
      </rPr>
      <t>あ</t>
    </r>
    <r>
      <rPr>
        <sz val="10"/>
        <color rgb="FFEC90E2"/>
        <rFont val="メイリオ"/>
        <family val="2"/>
        <charset val="128"/>
        <scheme val="minor"/>
      </rPr>
      <t>フ</t>
    </r>
  </si>
  <si>
    <r>
      <t>か</t>
    </r>
    <r>
      <rPr>
        <sz val="10"/>
        <color rgb="FF0B68B9"/>
        <rFont val="メイリオ"/>
        <family val="2"/>
        <charset val="128"/>
        <scheme val="minor"/>
      </rPr>
      <t>ド</t>
    </r>
  </si>
  <si>
    <r>
      <t>こ</t>
    </r>
    <r>
      <rPr>
        <sz val="10"/>
        <color rgb="FF0B68B9"/>
        <rFont val="メイリオ"/>
        <family val="2"/>
        <charset val="128"/>
        <scheme val="minor"/>
      </rPr>
      <t>ド</t>
    </r>
    <r>
      <rPr>
        <sz val="10"/>
        <color rgb="FFEC90E2"/>
        <rFont val="メイリオ"/>
        <family val="2"/>
        <charset val="128"/>
        <scheme val="minor"/>
      </rPr>
      <t>フ</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</si>
  <si>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585365"/>
        <rFont val="メイリオ"/>
        <family val="2"/>
        <charset val="128"/>
        <scheme val="minor"/>
      </rPr>
      <t>あ</t>
    </r>
  </si>
  <si>
    <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</si>
  <si>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か</t>
    </r>
    <r>
      <rPr>
        <sz val="10"/>
        <color rgb="FF90BE2F"/>
        <rFont val="メイリオ"/>
        <family val="2"/>
        <charset val="128"/>
        <scheme val="minor"/>
      </rPr>
      <t>む</t>
    </r>
    <r>
      <rPr>
        <sz val="10"/>
        <color rgb="FF71C7BA"/>
        <rFont val="メイリオ"/>
        <family val="2"/>
        <charset val="128"/>
        <scheme val="minor"/>
      </rPr>
      <t>こ</t>
    </r>
    <r>
      <rPr>
        <sz val="10"/>
        <color rgb="FF0B68B9"/>
        <rFont val="メイリオ"/>
        <family val="2"/>
        <charset val="128"/>
        <scheme val="minor"/>
      </rPr>
      <t>ド</t>
    </r>
  </si>
  <si>
    <r>
      <t>ゴ</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</si>
  <si>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か</t>
    </r>
    <r>
      <rPr>
        <sz val="10"/>
        <color rgb="FF90BE2F"/>
        <rFont val="メイリオ"/>
        <family val="2"/>
        <charset val="128"/>
        <scheme val="minor"/>
      </rPr>
      <t>む</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</si>
  <si>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</si>
  <si>
    <r>
      <t>ど</t>
    </r>
    <r>
      <rPr>
        <sz val="10"/>
        <color rgb="FF508698"/>
        <rFont val="メイリオ"/>
        <family val="2"/>
        <charset val="128"/>
        <scheme val="minor"/>
      </rPr>
      <t>は</t>
    </r>
  </si>
  <si>
    <r>
      <t>ノ</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EC90E2"/>
        <rFont val="メイリオ"/>
        <family val="2"/>
        <charset val="128"/>
        <scheme val="minor"/>
      </rPr>
      <t>フ</t>
    </r>
  </si>
  <si>
    <r>
      <t>か</t>
    </r>
    <r>
      <rPr>
        <sz val="10"/>
        <color rgb="FF90BE2F"/>
        <rFont val="メイリオ"/>
        <family val="2"/>
        <charset val="128"/>
        <scheme val="minor"/>
      </rPr>
      <t>む</t>
    </r>
    <r>
      <rPr>
        <sz val="10"/>
        <color rgb="FF585365"/>
        <rFont val="メイリオ"/>
        <family val="2"/>
        <charset val="128"/>
        <scheme val="minor"/>
      </rPr>
      <t>あ</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</si>
  <si>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</si>
  <si>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</si>
  <si>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</si>
  <si>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</si>
  <si>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</si>
  <si>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</si>
  <si>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</si>
  <si>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</si>
  <si>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</si>
  <si>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</si>
  <si>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</si>
  <si>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</si>
  <si>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</si>
  <si>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</si>
  <si>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</si>
  <si>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</si>
  <si>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</si>
  <si>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</si>
  <si>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</si>
  <si>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</si>
  <si>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</si>
  <si>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</si>
  <si>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</si>
  <si>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</si>
  <si>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</si>
  <si>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</si>
  <si>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</si>
  <si>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</si>
  <si>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</si>
  <si>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</si>
  <si>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</si>
  <si>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</si>
  <si>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</si>
  <si>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</si>
  <si>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</si>
  <si>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</si>
  <si>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</si>
  <si>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r>
      <t>はがね,</t>
    </r>
    <r>
      <rPr>
        <sz val="9"/>
        <color rgb="FF71C7BA"/>
        <rFont val="メイリオ"/>
        <family val="3"/>
        <charset val="128"/>
      </rPr>
      <t>こおり</t>
    </r>
    <phoneticPr fontId="3"/>
  </si>
  <si>
    <r>
      <t>めざめるパワー地,</t>
    </r>
    <r>
      <rPr>
        <sz val="10"/>
        <color rgb="FFC4B589"/>
        <rFont val="メイリオ"/>
        <family val="2"/>
        <charset val="128"/>
        <scheme val="minor"/>
      </rPr>
      <t>めざめるパワー岩</t>
    </r>
    <r>
      <rPr>
        <sz val="10"/>
        <color rgb="FFD47948"/>
        <rFont val="メイリオ"/>
        <family val="2"/>
        <charset val="128"/>
        <scheme val="minor"/>
      </rPr>
      <t>,</t>
    </r>
    <r>
      <rPr>
        <sz val="10"/>
        <color rgb="FF585365"/>
        <rFont val="メイリオ"/>
        <family val="2"/>
        <charset val="128"/>
        <scheme val="minor"/>
      </rPr>
      <t>めざめるパワー悪</t>
    </r>
    <r>
      <rPr>
        <sz val="10"/>
        <color rgb="FFD47948"/>
        <rFont val="メイリオ"/>
        <family val="2"/>
        <charset val="128"/>
        <scheme val="minor"/>
      </rPr>
      <t>,</t>
    </r>
    <r>
      <rPr>
        <sz val="10"/>
        <color rgb="FFA364C3"/>
        <rFont val="メイリオ"/>
        <family val="2"/>
        <charset val="128"/>
        <scheme val="minor"/>
      </rPr>
      <t>めざめるパワー毒</t>
    </r>
    <r>
      <rPr>
        <sz val="10"/>
        <color rgb="FFD47948"/>
        <rFont val="メイリオ"/>
        <family val="2"/>
        <charset val="128"/>
        <scheme val="minor"/>
      </rPr>
      <t>,</t>
    </r>
    <r>
      <rPr>
        <sz val="10"/>
        <color rgb="FF4F90D1"/>
        <rFont val="メイリオ"/>
        <family val="2"/>
        <charset val="128"/>
        <scheme val="minor"/>
      </rPr>
      <t>めざめるパワー水</t>
    </r>
    <r>
      <rPr>
        <sz val="10"/>
        <color rgb="FFD47948"/>
        <rFont val="メイリオ"/>
        <family val="2"/>
        <charset val="128"/>
        <scheme val="minor"/>
      </rPr>
      <t>,</t>
    </r>
    <r>
      <rPr>
        <sz val="10"/>
        <color rgb="FF71C7BA"/>
        <rFont val="メイリオ"/>
        <family val="2"/>
        <charset val="128"/>
        <scheme val="minor"/>
      </rPr>
      <t>めざめるパワー氷</t>
    </r>
    <r>
      <rPr>
        <sz val="10"/>
        <color rgb="FFD47948"/>
        <rFont val="メイリオ"/>
        <family val="2"/>
        <charset val="128"/>
        <scheme val="minor"/>
      </rPr>
      <t>,</t>
    </r>
    <r>
      <rPr>
        <sz val="10"/>
        <color rgb="FFFF9D54"/>
        <rFont val="メイリオ"/>
        <family val="2"/>
        <charset val="128"/>
        <scheme val="minor"/>
      </rPr>
      <t>めざめるパワー炎</t>
    </r>
    <r>
      <rPr>
        <sz val="10"/>
        <color rgb="FFD47948"/>
        <rFont val="メイリオ"/>
        <family val="2"/>
        <charset val="128"/>
        <scheme val="minor"/>
      </rPr>
      <t>,</t>
    </r>
    <r>
      <rPr>
        <sz val="10"/>
        <color rgb="FF0B68B9"/>
        <rFont val="メイリオ"/>
        <family val="2"/>
        <charset val="128"/>
        <scheme val="minor"/>
      </rPr>
      <t>めざめるパワー竜</t>
    </r>
    <r>
      <rPr>
        <sz val="10"/>
        <color rgb="FFD47948"/>
        <rFont val="メイリオ"/>
        <family val="2"/>
        <charset val="128"/>
        <scheme val="minor"/>
      </rPr>
      <t>,</t>
    </r>
    <r>
      <rPr>
        <sz val="10"/>
        <color rgb="FF5EB654"/>
        <rFont val="メイリオ"/>
        <family val="2"/>
        <charset val="128"/>
        <scheme val="minor"/>
      </rPr>
      <t>めざめるパワー草</t>
    </r>
    <r>
      <rPr>
        <sz val="10"/>
        <color rgb="FFD47948"/>
        <rFont val="メイリオ"/>
        <family val="2"/>
        <charset val="128"/>
        <scheme val="minor"/>
      </rPr>
      <t>,</t>
    </r>
    <r>
      <rPr>
        <sz val="10"/>
        <color rgb="FF90BE2F"/>
        <rFont val="メイリオ"/>
        <family val="2"/>
        <charset val="128"/>
        <scheme val="minor"/>
      </rPr>
      <t>めざめるパワー虫</t>
    </r>
    <r>
      <rPr>
        <sz val="10"/>
        <color rgb="FFD47948"/>
        <rFont val="メイリオ"/>
        <family val="2"/>
        <charset val="128"/>
        <scheme val="minor"/>
      </rPr>
      <t>,</t>
    </r>
    <r>
      <rPr>
        <sz val="10"/>
        <color rgb="FFF86E73"/>
        <rFont val="メイリオ"/>
        <family val="2"/>
        <charset val="128"/>
        <scheme val="minor"/>
      </rPr>
      <t>めざめるパワー超</t>
    </r>
    <r>
      <rPr>
        <sz val="10"/>
        <color rgb="FFD47948"/>
        <rFont val="メイリオ"/>
        <family val="2"/>
        <charset val="128"/>
        <scheme val="minor"/>
      </rPr>
      <t>,</t>
    </r>
    <r>
      <rPr>
        <sz val="10"/>
        <color rgb="FF508698"/>
        <rFont val="メイリオ"/>
        <family val="2"/>
        <charset val="128"/>
        <scheme val="minor"/>
      </rPr>
      <t>めざめるパワー鋼</t>
    </r>
    <r>
      <rPr>
        <sz val="10"/>
        <color rgb="FFD47948"/>
        <rFont val="メイリオ"/>
        <family val="2"/>
        <charset val="128"/>
        <scheme val="minor"/>
      </rPr>
      <t>,</t>
    </r>
    <r>
      <rPr>
        <sz val="10"/>
        <color rgb="FFCA4067"/>
        <rFont val="メイリオ"/>
        <family val="2"/>
        <charset val="128"/>
        <scheme val="minor"/>
      </rPr>
      <t>めざめるパワー闘</t>
    </r>
    <r>
      <rPr>
        <sz val="10"/>
        <color rgb="FFD47948"/>
        <rFont val="メイリオ"/>
        <family val="2"/>
        <charset val="128"/>
        <scheme val="minor"/>
      </rPr>
      <t>,</t>
    </r>
    <r>
      <rPr>
        <sz val="10"/>
        <color rgb="FFF3D23F"/>
        <rFont val="メイリオ"/>
        <family val="2"/>
        <charset val="128"/>
        <scheme val="minor"/>
      </rPr>
      <t>めざめるパワー電</t>
    </r>
    <r>
      <rPr>
        <sz val="10"/>
        <color rgb="FFD47948"/>
        <rFont val="メイリオ"/>
        <family val="2"/>
        <charset val="128"/>
        <scheme val="minor"/>
      </rPr>
      <t>,</t>
    </r>
    <r>
      <rPr>
        <sz val="10"/>
        <color rgb="FF5367A9"/>
        <rFont val="メイリオ"/>
        <family val="2"/>
        <charset val="128"/>
        <scheme val="minor"/>
      </rPr>
      <t>めざめるパワー霊</t>
    </r>
    <r>
      <rPr>
        <sz val="10"/>
        <color rgb="FFD47948"/>
        <rFont val="メイリオ"/>
        <family val="2"/>
        <charset val="128"/>
        <scheme val="minor"/>
      </rPr>
      <t>,</t>
    </r>
    <r>
      <rPr>
        <sz val="10"/>
        <color rgb="FF90AADE"/>
        <rFont val="メイリオ"/>
        <family val="2"/>
        <charset val="128"/>
        <scheme val="minor"/>
      </rPr>
      <t>めざめるパワー飛</t>
    </r>
  </si>
  <si>
    <r>
      <t>めざめるパワー毒,</t>
    </r>
    <r>
      <rPr>
        <sz val="10"/>
        <color rgb="FF5EB654"/>
        <rFont val="メイリオ"/>
        <family val="2"/>
        <charset val="128"/>
        <scheme val="minor"/>
      </rPr>
      <t>めざめるパワー草</t>
    </r>
  </si>
  <si>
    <r>
      <t>きあいだま,</t>
    </r>
    <r>
      <rPr>
        <sz val="10"/>
        <color rgb="FF5EB654"/>
        <rFont val="メイリオ"/>
        <family val="2"/>
        <charset val="128"/>
        <scheme val="minor"/>
      </rPr>
      <t>ソーラービーム</t>
    </r>
    <r>
      <rPr>
        <sz val="10"/>
        <color rgb="FFCA4067"/>
        <rFont val="メイリオ"/>
        <family val="2"/>
        <charset val="128"/>
        <scheme val="minor"/>
      </rPr>
      <t>,</t>
    </r>
    <r>
      <rPr>
        <sz val="10"/>
        <color rgb="FF8C949C"/>
        <rFont val="メイリオ"/>
        <family val="2"/>
        <charset val="128"/>
        <scheme val="minor"/>
      </rPr>
      <t>はかいこうせん</t>
    </r>
  </si>
  <si>
    <r>
      <t>じしん,</t>
    </r>
    <r>
      <rPr>
        <sz val="10"/>
        <color rgb="FFC4B589"/>
        <rFont val="メイリオ"/>
        <family val="2"/>
        <charset val="128"/>
        <scheme val="minor"/>
      </rPr>
      <t>ストーンエッジ</t>
    </r>
  </si>
  <si>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</si>
  <si>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</si>
  <si>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</si>
  <si>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</si>
  <si>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</si>
  <si>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</si>
  <si>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</si>
  <si>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</si>
  <si>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</si>
  <si>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</si>
  <si>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</si>
  <si>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</si>
  <si>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</si>
  <si>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</si>
  <si>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</si>
  <si>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</si>
  <si>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</si>
  <si>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</si>
  <si>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</si>
  <si>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</si>
  <si>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</si>
  <si>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</si>
  <si>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</si>
  <si>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</si>
  <si>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</si>
  <si>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</si>
  <si>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</si>
  <si>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</si>
  <si>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</si>
  <si>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攻撃力</t>
    <rPh sb="0" eb="3">
      <t>コウゲキリョク</t>
    </rPh>
    <phoneticPr fontId="3"/>
  </si>
  <si>
    <t>防御力</t>
    <rPh sb="0" eb="3">
      <t>ボウギョリョク</t>
    </rPh>
    <phoneticPr fontId="3"/>
  </si>
  <si>
    <t>HP</t>
    <phoneticPr fontId="3"/>
  </si>
  <si>
    <t>発生時間</t>
    <rPh sb="0" eb="2">
      <t>ハッセイ</t>
    </rPh>
    <rPh sb="2" eb="4">
      <t>ジカン</t>
    </rPh>
    <phoneticPr fontId="3"/>
  </si>
  <si>
    <t>通常わざ</t>
    <rPh sb="0" eb="2">
      <t>ツウジョウ</t>
    </rPh>
    <phoneticPr fontId="3"/>
  </si>
  <si>
    <t>ゲージわざ</t>
    <phoneticPr fontId="3"/>
  </si>
  <si>
    <t>威力_s</t>
    <rPh sb="0" eb="2">
      <t>イリョク</t>
    </rPh>
    <phoneticPr fontId="3"/>
  </si>
  <si>
    <t>発動時間_s</t>
    <rPh sb="0" eb="2">
      <t>ハツドウ</t>
    </rPh>
    <rPh sb="2" eb="4">
      <t>ジカン</t>
    </rPh>
    <phoneticPr fontId="3"/>
  </si>
  <si>
    <t>ダミーの敵のパラメータ</t>
    <rPh sb="4" eb="5">
      <t>テキ</t>
    </rPh>
    <phoneticPr fontId="3"/>
  </si>
  <si>
    <t>威力_ng</t>
    <rPh sb="0" eb="2">
      <t>イリョク</t>
    </rPh>
    <phoneticPr fontId="3"/>
  </si>
  <si>
    <t>威力_nm</t>
    <rPh sb="0" eb="2">
      <t>イリョク</t>
    </rPh>
    <phoneticPr fontId="3"/>
  </si>
  <si>
    <t>チャージ_m</t>
    <phoneticPr fontId="3"/>
  </si>
  <si>
    <t>チャージ_g</t>
    <phoneticPr fontId="3"/>
  </si>
  <si>
    <t>発生ターン</t>
    <rPh sb="0" eb="2">
      <t>ハッセイ</t>
    </rPh>
    <phoneticPr fontId="3"/>
  </si>
  <si>
    <t>ゲージ数</t>
    <rPh sb="3" eb="4">
      <t>スウ</t>
    </rPh>
    <phoneticPr fontId="3"/>
  </si>
  <si>
    <t>威力_sm</t>
    <phoneticPr fontId="3"/>
  </si>
  <si>
    <t>ゲージ量</t>
    <rPh sb="3" eb="4">
      <t>リョウ</t>
    </rPh>
    <phoneticPr fontId="3"/>
  </si>
  <si>
    <t>KT</t>
  </si>
  <si>
    <t>CP上限デフォルト</t>
    <rPh sb="2" eb="4">
      <t>ジョウゲン</t>
    </rPh>
    <phoneticPr fontId="3"/>
  </si>
  <si>
    <t>CP下限デフォルト</t>
    <rPh sb="2" eb="4">
      <t>カゲン</t>
    </rPh>
    <phoneticPr fontId="3"/>
  </si>
  <si>
    <t>KTR</t>
  </si>
  <si>
    <t>予測</t>
    <rPh sb="0" eb="2">
      <t>ヨソク</t>
    </rPh>
    <phoneticPr fontId="3"/>
  </si>
  <si>
    <t>現</t>
    <rPh sb="0" eb="1">
      <t>ゲン</t>
    </rPh>
    <phoneticPr fontId="3"/>
  </si>
  <si>
    <t>PL_pr</t>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</si>
  <si>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</si>
  <si>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</si>
  <si>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</si>
  <si>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</si>
  <si>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</si>
  <si>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</si>
  <si>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</si>
  <si>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</si>
  <si>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</si>
  <si>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</si>
  <si>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</si>
  <si>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ジム</t>
    <phoneticPr fontId="3"/>
  </si>
  <si>
    <t>対戦</t>
    <rPh sb="0" eb="2">
      <t>タイセン</t>
    </rPh>
    <phoneticPr fontId="3"/>
  </si>
  <si>
    <t>期待個体</t>
    <rPh sb="0" eb="2">
      <t>キタイ</t>
    </rPh>
    <rPh sb="2" eb="4">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</si>
  <si>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</si>
  <si>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</si>
  <si>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</si>
  <si>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</si>
  <si>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</si>
  <si>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</si>
  <si>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</si>
  <si>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</si>
  <si>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</si>
  <si>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種族分析シートの２つのパラメータにより、各種族を散布図に示しています。</t>
    <rPh sb="0" eb="2">
      <t>シュゾク</t>
    </rPh>
    <rPh sb="2" eb="4">
      <t>ブンセキ</t>
    </rPh>
    <rPh sb="20" eb="21">
      <t>カク</t>
    </rPh>
    <rPh sb="21" eb="23">
      <t>シュゾク</t>
    </rPh>
    <rPh sb="24" eb="26">
      <t>サンプ</t>
    </rPh>
    <rPh sb="26" eb="27">
      <t>ズ</t>
    </rPh>
    <rPh sb="28" eb="29">
      <t>シメ</t>
    </rPh>
    <phoneticPr fontId="3"/>
  </si>
  <si>
    <t>ジム・対戦のシートにて、予測ランキングのみに登場した個体を集計しています。このワークブックによる分析の最終結果です。</t>
    <rPh sb="3" eb="5">
      <t>タイセン</t>
    </rPh>
    <rPh sb="12" eb="14">
      <t>ヨソク</t>
    </rPh>
    <rPh sb="22" eb="24">
      <t>トウジョウ</t>
    </rPh>
    <rPh sb="26" eb="28">
      <t>コタイ</t>
    </rPh>
    <rPh sb="29" eb="31">
      <t>シュウケイ</t>
    </rPh>
    <rPh sb="48" eb="50">
      <t>ブンセキ</t>
    </rPh>
    <rPh sb="51" eb="53">
      <t>サイシュウ</t>
    </rPh>
    <rPh sb="53" eb="55">
      <t>ケッカ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</si>
  <si>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</si>
  <si>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</si>
  <si>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</si>
  <si>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</si>
  <si>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</si>
  <si>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</si>
  <si>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</si>
  <si>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</si>
  <si>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</si>
  <si>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選択しているセルのある種族を強調しつつ、種族マップに切り替えます。</t>
    <rPh sb="0" eb="2">
      <t>センタク</t>
    </rPh>
    <rPh sb="11" eb="13">
      <t>シュゾク</t>
    </rPh>
    <rPh sb="14" eb="16">
      <t>キョウチョウ</t>
    </rPh>
    <rPh sb="20" eb="22">
      <t>シュゾク</t>
    </rPh>
    <rPh sb="26" eb="27">
      <t>キ</t>
    </rPh>
    <rPh sb="28" eb="29">
      <t>カ</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</si>
  <si>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</si>
  <si>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</si>
  <si>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</si>
  <si>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</si>
  <si>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</si>
  <si>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各わざのシートにおいて、選択してるセルのある種族が習得可能なわざのみにフィルタします。</t>
    <rPh sb="0" eb="1">
      <t>カク</t>
    </rPh>
    <rPh sb="12" eb="14">
      <t>センタク</t>
    </rPh>
    <rPh sb="22" eb="24">
      <t>シュゾク</t>
    </rPh>
    <rPh sb="25" eb="27">
      <t>シュウトク</t>
    </rPh>
    <rPh sb="27" eb="29">
      <t>カノウ</t>
    </rPh>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</si>
  <si>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</si>
  <si>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</si>
  <si>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</si>
  <si>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</si>
  <si>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</si>
  <si>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</si>
  <si>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</si>
  <si>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</si>
  <si>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</si>
  <si>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</si>
  <si>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</si>
  <si>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</si>
  <si>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</si>
  <si>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</si>
  <si>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</si>
  <si>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</si>
  <si>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</si>
  <si>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</si>
  <si>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</si>
  <si>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</si>
  <si>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</si>
  <si>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</si>
  <si>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</si>
  <si>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</si>
  <si>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</si>
  <si>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</si>
  <si>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</si>
  <si>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</si>
  <si>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</si>
  <si>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</si>
  <si>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</si>
  <si>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</si>
  <si>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</si>
  <si>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</si>
  <si>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</si>
  <si>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</si>
  <si>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タイプ1と必要な場合はタイプ2を入力すると、種族名は、そのタイプに該当する種族の</t>
    <rPh sb="5" eb="7">
      <t>ヒツヨウ</t>
    </rPh>
    <rPh sb="8" eb="10">
      <t>バアイ</t>
    </rPh>
    <rPh sb="16" eb="18">
      <t>ニュウリョク</t>
    </rPh>
    <rPh sb="22" eb="25">
      <t>シュゾクメイ</t>
    </rPh>
    <rPh sb="33" eb="35">
      <t>ガイトウ</t>
    </rPh>
    <rPh sb="37" eb="39">
      <t>シュゾク</t>
    </rPh>
    <phoneticPr fontId="3"/>
  </si>
  <si>
    <t>プルダウンリストから選択することができます。</t>
    <rPh sb="10" eb="12">
      <t>センタク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</si>
  <si>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</si>
  <si>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</si>
  <si>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</si>
  <si>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</si>
  <si>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</si>
  <si>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</si>
  <si>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</si>
  <si>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</si>
  <si>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</si>
  <si>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正確なPLが既知で、それが推測されたPLと異なる場合(0の場合も含む)は、ここに正しいPLを入力します。</t>
    <rPh sb="0" eb="2">
      <t>セイカク</t>
    </rPh>
    <rPh sb="6" eb="8">
      <t>キチ</t>
    </rPh>
    <rPh sb="13" eb="15">
      <t>スイソク</t>
    </rPh>
    <rPh sb="21" eb="22">
      <t>コト</t>
    </rPh>
    <rPh sb="24" eb="26">
      <t>バアイ</t>
    </rPh>
    <rPh sb="29" eb="31">
      <t>バアイ</t>
    </rPh>
    <rPh sb="32" eb="33">
      <t>フク</t>
    </rPh>
    <rPh sb="40" eb="41">
      <t>タダ</t>
    </rPh>
    <rPh sb="46" eb="48">
      <t>ニュウリョク</t>
    </rPh>
    <phoneticPr fontId="3"/>
  </si>
  <si>
    <t>すると右のPLのセルにそのまま反映されます。</t>
    <rPh sb="3" eb="4">
      <t>ミギ</t>
    </rPh>
    <rPh sb="15" eb="17">
      <t>ハンエイ</t>
    </rPh>
    <phoneticPr fontId="3"/>
  </si>
  <si>
    <t>―</t>
    <phoneticPr fontId="3"/>
  </si>
  <si>
    <t>評価パラメータ</t>
    <rPh sb="0" eb="2">
      <t>ヒョウカ</t>
    </rPh>
    <phoneticPr fontId="3"/>
  </si>
  <si>
    <t>評価パラメータについては計算法をご参照ください。</t>
    <rPh sb="0" eb="2">
      <t>ヒョウカ</t>
    </rPh>
    <rPh sb="12" eb="15">
      <t>ケイサンホウ</t>
    </rPh>
    <rPh sb="17" eb="19">
      <t>サンショウ</t>
    </rPh>
    <phoneticPr fontId="3"/>
  </si>
  <si>
    <t>入力した値と種族のデータより各評価パラメータが計算されます。</t>
    <rPh sb="0" eb="2">
      <t>ニュウリョク</t>
    </rPh>
    <rPh sb="4" eb="5">
      <t>アタイ</t>
    </rPh>
    <rPh sb="6" eb="8">
      <t>シュゾク</t>
    </rPh>
    <rPh sb="14" eb="15">
      <t>カク</t>
    </rPh>
    <rPh sb="15" eb="17">
      <t>ヒョウカ</t>
    </rPh>
    <rPh sb="23" eb="25">
      <t>ケイサン</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</si>
  <si>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</si>
  <si>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</si>
  <si>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</si>
  <si>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</si>
  <si>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</si>
  <si>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</si>
  <si>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</si>
  <si>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目標PLに入力があればその値</t>
    <rPh sb="0" eb="2">
      <t>モクヒョウ</t>
    </rPh>
    <rPh sb="5" eb="7">
      <t>ニュウリョク</t>
    </rPh>
    <rPh sb="13" eb="14">
      <t>アタイ</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</si>
  <si>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</si>
  <si>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イベント発生が抑制され、計算が手動になっていますので、入力による自動計算がなされない状態になっています。</t>
    <rPh sb="4" eb="6">
      <t>ハッセイ</t>
    </rPh>
    <rPh sb="7" eb="9">
      <t>ヨクセイ</t>
    </rPh>
    <rPh sb="12" eb="14">
      <t>ケイサン</t>
    </rPh>
    <rPh sb="15" eb="17">
      <t>シュドウ</t>
    </rPh>
    <rPh sb="27" eb="29">
      <t>ニュウリョク</t>
    </rPh>
    <rPh sb="32" eb="36">
      <t>ジドウケイサン</t>
    </rPh>
    <rPh sb="42" eb="44">
      <t>ジョウタイ</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</si>
  <si>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</si>
  <si>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</si>
  <si>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</si>
  <si>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予測PLのときの評価パラメータです。「Δ」の列は、その左のセルの予測値と現在の値との差分を示し、PL以外は変化率で示しています。</t>
    <rPh sb="0" eb="2">
      <t>ヨソク</t>
    </rPh>
    <rPh sb="8" eb="10">
      <t>ヒョウカ</t>
    </rPh>
    <rPh sb="22" eb="23">
      <t>レツ</t>
    </rPh>
    <rPh sb="27" eb="28">
      <t>ヒダリ</t>
    </rPh>
    <rPh sb="32" eb="34">
      <t>ヨソク</t>
    </rPh>
    <rPh sb="34" eb="35">
      <t>アタイ</t>
    </rPh>
    <rPh sb="36" eb="38">
      <t>ゲンザイ</t>
    </rPh>
    <rPh sb="39" eb="40">
      <t>アタイ</t>
    </rPh>
    <rPh sb="42" eb="44">
      <t>サブン</t>
    </rPh>
    <rPh sb="45" eb="46">
      <t>シメ</t>
    </rPh>
    <rPh sb="50" eb="52">
      <t>イガイ</t>
    </rPh>
    <rPh sb="53" eb="56">
      <t>ヘンカリ</t>
    </rPh>
    <rPh sb="57" eb="58">
      <t>シメ</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</si>
  <si>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</si>
  <si>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</si>
  <si>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</si>
  <si>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</si>
  <si>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</si>
  <si>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</si>
  <si>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</si>
  <si>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</si>
  <si>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もし入力が反映されていないと思ったら、管理シートの「個体シートの再計算」ボタンをクリックして再計算させてください。（個体マップの再作成でも可）</t>
    <rPh sb="2" eb="4">
      <t>ニュウリョク</t>
    </rPh>
    <rPh sb="5" eb="7">
      <t>ハンエイ</t>
    </rPh>
    <rPh sb="14" eb="15">
      <t>オモ</t>
    </rPh>
    <rPh sb="19" eb="21">
      <t>カンリ</t>
    </rPh>
    <rPh sb="26" eb="28">
      <t>コタイ</t>
    </rPh>
    <rPh sb="32" eb="35">
      <t>サイケイサン</t>
    </rPh>
    <rPh sb="46" eb="49">
      <t>サイケイサン</t>
    </rPh>
    <rPh sb="58" eb="60">
      <t>コタイ</t>
    </rPh>
    <rPh sb="64" eb="67">
      <t>サイサクセイ</t>
    </rPh>
    <rPh sb="69" eb="70">
      <t>カ</t>
    </rPh>
    <phoneticPr fontId="3"/>
  </si>
  <si>
    <t>（個体マップの再作成でも可）</t>
    <rPh sb="1" eb="3">
      <t>コタイ</t>
    </rPh>
    <rPh sb="7" eb="10">
      <t>サイサクセイ</t>
    </rPh>
    <rPh sb="12" eb="13">
      <t>カ</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</si>
  <si>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</si>
  <si>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手持ちのポケモン個体のデータを入力します。入力から計算したパラメータ、及び強化した場合の予測パラメータも示します。</t>
    <rPh sb="0" eb="2">
      <t>テモ</t>
    </rPh>
    <rPh sb="8" eb="10">
      <t>コタイ</t>
    </rPh>
    <rPh sb="15" eb="17">
      <t>ニュウリョク</t>
    </rPh>
    <rPh sb="21" eb="23">
      <t>ニュウリョク</t>
    </rPh>
    <rPh sb="25" eb="27">
      <t>ケイサン</t>
    </rPh>
    <rPh sb="35" eb="36">
      <t>オヨ</t>
    </rPh>
    <rPh sb="37" eb="39">
      <t>キョウカ</t>
    </rPh>
    <rPh sb="41" eb="43">
      <t>バアイ</t>
    </rPh>
    <rPh sb="44" eb="46">
      <t>ヨソク</t>
    </rPh>
    <rPh sb="52" eb="53">
      <t>シメ</t>
    </rPh>
    <phoneticPr fontId="3"/>
  </si>
  <si>
    <t>個体シートの２つのパラメータにより、各個体を散布図に示します。強化後の予測個体も示します。</t>
    <rPh sb="0" eb="2">
      <t>コタイ</t>
    </rPh>
    <rPh sb="18" eb="19">
      <t>カク</t>
    </rPh>
    <rPh sb="19" eb="21">
      <t>コタイ</t>
    </rPh>
    <rPh sb="22" eb="24">
      <t>サンプ</t>
    </rPh>
    <rPh sb="24" eb="25">
      <t>ズ</t>
    </rPh>
    <rPh sb="26" eb="27">
      <t>シメ</t>
    </rPh>
    <rPh sb="31" eb="33">
      <t>キョウカ</t>
    </rPh>
    <rPh sb="33" eb="34">
      <t>ゴ</t>
    </rPh>
    <rPh sb="35" eb="37">
      <t>ヨソク</t>
    </rPh>
    <rPh sb="37" eb="39">
      <t>コタイ</t>
    </rPh>
    <rPh sb="40" eb="41">
      <t>シメ</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</si>
  <si>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</si>
  <si>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</si>
  <si>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</si>
  <si>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</si>
  <si>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</si>
  <si>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</si>
  <si>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</si>
  <si>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</si>
  <si>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</si>
  <si>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</si>
  <si>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</si>
  <si>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</si>
  <si>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</si>
  <si>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</si>
  <si>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</si>
  <si>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</si>
  <si>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</si>
  <si>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</si>
  <si>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</si>
  <si>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</si>
  <si>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</si>
  <si>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</si>
  <si>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</si>
  <si>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</si>
  <si>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ジム</t>
    <phoneticPr fontId="3"/>
  </si>
  <si>
    <t>トレーナーバトル（または対ロケット団）における任意の相手を設定し、対策となる個体のランキングを示します。</t>
    <rPh sb="12" eb="13">
      <t>タイ</t>
    </rPh>
    <rPh sb="17" eb="18">
      <t>ダン</t>
    </rPh>
    <phoneticPr fontId="3"/>
  </si>
  <si>
    <t>強化後の予測個体でのランキングも示します。</t>
    <phoneticPr fontId="3"/>
  </si>
  <si>
    <t>ジムバトル（またはレイドバトル）における任意の相手を設定し、対策となる個体のランキングを示します。強化後の予測個体でのランキングも示します。</t>
    <rPh sb="20" eb="22">
      <t>ニンイ</t>
    </rPh>
    <rPh sb="23" eb="25">
      <t>アイテ</t>
    </rPh>
    <rPh sb="26" eb="28">
      <t>セッテイ</t>
    </rPh>
    <rPh sb="30" eb="32">
      <t>タイサク</t>
    </rPh>
    <rPh sb="35" eb="37">
      <t>コタイ</t>
    </rPh>
    <rPh sb="44" eb="45">
      <t>シメ</t>
    </rPh>
    <rPh sb="49" eb="51">
      <t>キョウカ</t>
    </rPh>
    <rPh sb="51" eb="52">
      <t>ゴ</t>
    </rPh>
    <rPh sb="53" eb="55">
      <t>ヨソク</t>
    </rPh>
    <rPh sb="55" eb="57">
      <t>コタイ</t>
    </rPh>
    <rPh sb="65" eb="66">
      <t>シメ</t>
    </rPh>
    <phoneticPr fontId="3"/>
  </si>
  <si>
    <t>各シートのパラメータより、最大値と平均を集計しています。ジムや対戦での、ダミーの相手のパラメータも書かれています。</t>
    <rPh sb="0" eb="1">
      <t>カク</t>
    </rPh>
    <rPh sb="13" eb="16">
      <t>サイダイチ</t>
    </rPh>
    <rPh sb="17" eb="19">
      <t>ヘイキン</t>
    </rPh>
    <rPh sb="20" eb="22">
      <t>シュウケイ</t>
    </rPh>
    <rPh sb="31" eb="33">
      <t>タイセン</t>
    </rPh>
    <rPh sb="40" eb="42">
      <t>アイテ</t>
    </rPh>
    <rPh sb="49" eb="50">
      <t>カ</t>
    </rPh>
    <phoneticPr fontId="3"/>
  </si>
  <si>
    <t>初期設定ではKT（ノックアウト・タイム：攻撃を続けて相手のHPが０以下になるまでの時間）でランク付けしています。</t>
    <rPh sb="0" eb="2">
      <t>ショキ</t>
    </rPh>
    <rPh sb="2" eb="4">
      <t>セッテイ</t>
    </rPh>
    <rPh sb="20" eb="22">
      <t>コウゲキ</t>
    </rPh>
    <rPh sb="23" eb="24">
      <t>ツヅ</t>
    </rPh>
    <rPh sb="26" eb="28">
      <t>アイテ</t>
    </rPh>
    <rPh sb="33" eb="35">
      <t>イカ</t>
    </rPh>
    <rPh sb="41" eb="43">
      <t>ジカン</t>
    </rPh>
    <rPh sb="48" eb="49">
      <t>ヅ</t>
    </rPh>
    <phoneticPr fontId="3"/>
  </si>
  <si>
    <t>・</t>
    <phoneticPr fontId="3"/>
  </si>
  <si>
    <t>設定に、自動的に入力するCPの制限値の項目がありますので、最初に適切に設定しておくことをおすすめします。</t>
    <rPh sb="0" eb="2">
      <t>セッテイ</t>
    </rPh>
    <rPh sb="4" eb="7">
      <t>ジドウテキ</t>
    </rPh>
    <rPh sb="8" eb="10">
      <t>ニュウリョク</t>
    </rPh>
    <rPh sb="15" eb="18">
      <t>セイゲンチ</t>
    </rPh>
    <rPh sb="19" eb="21">
      <t>コウモク</t>
    </rPh>
    <rPh sb="29" eb="31">
      <t>サイショ</t>
    </rPh>
    <rPh sb="32" eb="34">
      <t>テキセツ</t>
    </rPh>
    <rPh sb="35" eb="37">
      <t>セッテイ</t>
    </rPh>
    <phoneticPr fontId="3"/>
  </si>
  <si>
    <t>被ダメージによるチャージ</t>
    <rPh sb="0" eb="1">
      <t>ヒ</t>
    </rPh>
    <phoneticPr fontId="3"/>
  </si>
  <si>
    <t>設定によって、KTR（KT率：自分の攻撃によるKT÷相手の攻撃によるKT）でランク付けすることも可能です。</t>
    <rPh sb="0" eb="2">
      <t>セッテイ</t>
    </rPh>
    <rPh sb="13" eb="14">
      <t>リツ</t>
    </rPh>
    <rPh sb="15" eb="17">
      <t>ジブン</t>
    </rPh>
    <rPh sb="18" eb="20">
      <t>コウゲキ</t>
    </rPh>
    <rPh sb="26" eb="28">
      <t>アイテ</t>
    </rPh>
    <rPh sb="48" eb="50">
      <t>カノウ</t>
    </rPh>
    <phoneticPr fontId="3"/>
  </si>
  <si>
    <t>相手の設定</t>
    <rPh sb="0" eb="2">
      <t>アイテ</t>
    </rPh>
    <rPh sb="3" eb="5">
      <t>セッテイ</t>
    </rPh>
    <phoneticPr fontId="3"/>
  </si>
  <si>
    <t>設定を追加する場合は、既存の計算結果と重ならないように、表の一番下か、途中に行を挿入して行います。</t>
    <rPh sb="0" eb="2">
      <t>セッテイ</t>
    </rPh>
    <rPh sb="3" eb="5">
      <t>ツイカ</t>
    </rPh>
    <rPh sb="7" eb="9">
      <t>バアイ</t>
    </rPh>
    <rPh sb="11" eb="13">
      <t>キゾン</t>
    </rPh>
    <rPh sb="14" eb="18">
      <t>ケイサンケッカ</t>
    </rPh>
    <rPh sb="19" eb="20">
      <t>カサ</t>
    </rPh>
    <rPh sb="28" eb="29">
      <t>ヒョウ</t>
    </rPh>
    <rPh sb="30" eb="33">
      <t>イチバンシタ</t>
    </rPh>
    <rPh sb="35" eb="37">
      <t>トチュウ</t>
    </rPh>
    <rPh sb="38" eb="39">
      <t>ギョウ</t>
    </rPh>
    <rPh sb="40" eb="42">
      <t>ソウニュウ</t>
    </rPh>
    <rPh sb="44" eb="45">
      <t>オコナ</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</si>
  <si>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</si>
  <si>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</si>
  <si>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</si>
  <si>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</si>
  <si>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任意のメモ書きです。空白でも構いません。</t>
    <rPh sb="0" eb="2">
      <t>ニンイ</t>
    </rPh>
    <rPh sb="5" eb="6">
      <t>ガ</t>
    </rPh>
    <rPh sb="10" eb="12">
      <t>クウハク</t>
    </rPh>
    <rPh sb="14" eb="15">
      <t>カマ</t>
    </rPh>
    <phoneticPr fontId="3"/>
  </si>
  <si>
    <t>デフォルトのわざはcDPSが最も大きい組み合わせ、以降のパラメータはPL40個体値最大の値です。</t>
    <rPh sb="14" eb="15">
      <t>モット</t>
    </rPh>
    <rPh sb="16" eb="17">
      <t>オオ</t>
    </rPh>
    <rPh sb="19" eb="20">
      <t>ク</t>
    </rPh>
    <rPh sb="21" eb="22">
      <t>ア</t>
    </rPh>
    <rPh sb="25" eb="27">
      <t>イコウ</t>
    </rPh>
    <rPh sb="38" eb="41">
      <t>コタイチ</t>
    </rPh>
    <rPh sb="41" eb="43">
      <t>サイダイ</t>
    </rPh>
    <rPh sb="44" eb="45">
      <t>アタイ</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</si>
  <si>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</si>
  <si>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</si>
  <si>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PLからHP</t>
    <phoneticPr fontId="3"/>
  </si>
  <si>
    <t>相手のパラメータを設定します。PLから個体HPの入力により、CP・HPは変化します。</t>
    <rPh sb="0" eb="2">
      <t>アイテ</t>
    </rPh>
    <rPh sb="9" eb="11">
      <t>セッテイ</t>
    </rPh>
    <rPh sb="19" eb="21">
      <t>コタイ</t>
    </rPh>
    <rPh sb="24" eb="26">
      <t>ニュウリョク</t>
    </rPh>
    <rPh sb="36" eb="38">
      <t>ヘンカ</t>
    </rPh>
    <phoneticPr fontId="3"/>
  </si>
  <si>
    <t>・</t>
    <phoneticPr fontId="3"/>
  </si>
  <si>
    <t>相手の設定は、種族名からHPまでのセルに書き込むことで行います。相手の種族を特定する場合と、ダミーを設定する方法の2つがあります。</t>
    <rPh sb="0" eb="2">
      <t>アイテ</t>
    </rPh>
    <rPh sb="3" eb="5">
      <t>セッテイ</t>
    </rPh>
    <rPh sb="7" eb="10">
      <t>シュゾクメイ</t>
    </rPh>
    <rPh sb="20" eb="21">
      <t>カ</t>
    </rPh>
    <rPh sb="22" eb="23">
      <t>コ</t>
    </rPh>
    <rPh sb="27" eb="28">
      <t>オコナ</t>
    </rPh>
    <rPh sb="32" eb="34">
      <t>アイテ</t>
    </rPh>
    <rPh sb="35" eb="37">
      <t>シュゾク</t>
    </rPh>
    <rPh sb="38" eb="40">
      <t>トクテイ</t>
    </rPh>
    <rPh sb="42" eb="44">
      <t>バアイ</t>
    </rPh>
    <rPh sb="50" eb="52">
      <t>セッテイ</t>
    </rPh>
    <rPh sb="54" eb="56">
      <t>ホウホウ</t>
    </rPh>
    <phoneticPr fontId="3"/>
  </si>
  <si>
    <t>「?」(または全角の「？」)を設定します。</t>
    <rPh sb="7" eb="9">
      <t>ゼンカク</t>
    </rPh>
    <rPh sb="15" eb="17">
      <t>セッテイ</t>
    </rPh>
    <phoneticPr fontId="3"/>
  </si>
  <si>
    <t>ダミーの相手の場合は、ここにタイプ名を設定します。(入力補助はありません)</t>
    <rPh sb="4" eb="6">
      <t>アイテ</t>
    </rPh>
    <rPh sb="7" eb="9">
      <t>バアイ</t>
    </rPh>
    <rPh sb="17" eb="18">
      <t>メイ</t>
    </rPh>
    <rPh sb="19" eb="21">
      <t>セッテイ</t>
    </rPh>
    <rPh sb="26" eb="28">
      <t>ニュウリョク</t>
    </rPh>
    <rPh sb="28" eb="30">
      <t>ホジョ</t>
    </rPh>
    <phoneticPr fontId="3"/>
  </si>
  <si>
    <t>タイプが2つの場合は「,」(コンマ)で区切ります。(全角の「，」「、」でも変換されます)</t>
    <rPh sb="7" eb="9">
      <t>バアイ</t>
    </rPh>
    <rPh sb="19" eb="21">
      <t>クギ</t>
    </rPh>
    <rPh sb="26" eb="28">
      <t>ゼンカク</t>
    </rPh>
    <rPh sb="37" eb="39">
      <t>ヘンカン</t>
    </rPh>
    <phoneticPr fontId="3"/>
  </si>
  <si>
    <t>通常わざからHPまで</t>
    <rPh sb="0" eb="2">
      <t>ツウジョウ</t>
    </rPh>
    <phoneticPr fontId="3"/>
  </si>
  <si>
    <t>ダミーの相手の場合は、これらのセルに書かれた値は考慮されません。</t>
    <rPh sb="4" eb="6">
      <t>アイテ</t>
    </rPh>
    <rPh sb="7" eb="9">
      <t>バアイ</t>
    </rPh>
    <rPh sb="18" eb="19">
      <t>カ</t>
    </rPh>
    <rPh sb="22" eb="23">
      <t>アタイ</t>
    </rPh>
    <rPh sb="24" eb="26">
      <t>コウリョ</t>
    </rPh>
    <phoneticPr fontId="3"/>
  </si>
  <si>
    <t>CPによる限定(上限・下限)</t>
    <rPh sb="5" eb="7">
      <t>ゲンテイ</t>
    </rPh>
    <rPh sb="8" eb="10">
      <t>ジョウゲン</t>
    </rPh>
    <rPh sb="11" eb="13">
      <t>カゲン</t>
    </rPh>
    <phoneticPr fontId="3"/>
  </si>
  <si>
    <t>そのような場合は、CPの下限を設定して実際にシミュレーションを行う個体の数を少なくします。</t>
    <rPh sb="5" eb="7">
      <t>バアイ</t>
    </rPh>
    <rPh sb="12" eb="14">
      <t>カゲン</t>
    </rPh>
    <rPh sb="15" eb="17">
      <t>セッテイ</t>
    </rPh>
    <rPh sb="19" eb="21">
      <t>ジッサイ</t>
    </rPh>
    <rPh sb="31" eb="32">
      <t>オコナ</t>
    </rPh>
    <rPh sb="33" eb="35">
      <t>コタイ</t>
    </rPh>
    <rPh sb="36" eb="37">
      <t>スウ</t>
    </rPh>
    <rPh sb="38" eb="39">
      <t>スク</t>
    </rPh>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</si>
  <si>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</si>
  <si>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</si>
  <si>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</si>
  <si>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相手を設定をした行にあるセルを選択した状態で「計算する」ボタンをクリックするとランキングの計算を開始します。</t>
    <rPh sb="0" eb="2">
      <t>アイテ</t>
    </rPh>
    <rPh sb="3" eb="5">
      <t>セッテイ</t>
    </rPh>
    <rPh sb="8" eb="9">
      <t>ギョウ</t>
    </rPh>
    <rPh sb="15" eb="17">
      <t>センタク</t>
    </rPh>
    <rPh sb="19" eb="21">
      <t>ジョウタイ</t>
    </rPh>
    <rPh sb="23" eb="25">
      <t>ケイサン</t>
    </rPh>
    <rPh sb="45" eb="47">
      <t>ケイサン</t>
    </rPh>
    <rPh sb="48" eb="50">
      <t>カイシ</t>
    </rPh>
    <phoneticPr fontId="3"/>
  </si>
  <si>
    <t>―</t>
    <phoneticPr fontId="3"/>
  </si>
  <si>
    <t>ランキング</t>
    <phoneticPr fontId="3"/>
  </si>
  <si>
    <t>天候未設定</t>
    <rPh sb="0" eb="2">
      <t>テンコウ</t>
    </rPh>
    <rPh sb="2" eb="5">
      <t>ミセッテイ</t>
    </rPh>
    <phoneticPr fontId="3"/>
  </si>
  <si>
    <t>天候ブーストが発生しない状態での、基本となるランキングです。KT(或いはKTR)の昇順で、複数行に渡って表示されます。</t>
    <rPh sb="0" eb="2">
      <t>テンコウ</t>
    </rPh>
    <rPh sb="7" eb="9">
      <t>ハッセイ</t>
    </rPh>
    <rPh sb="12" eb="14">
      <t>ジョウタイ</t>
    </rPh>
    <rPh sb="17" eb="19">
      <t>キホン</t>
    </rPh>
    <rPh sb="33" eb="34">
      <t>アル</t>
    </rPh>
    <rPh sb="41" eb="43">
      <t>ショウジュン</t>
    </rPh>
    <rPh sb="45" eb="47">
      <t>フクスウ</t>
    </rPh>
    <rPh sb="47" eb="48">
      <t>ギョウ</t>
    </rPh>
    <rPh sb="49" eb="50">
      <t>ワタ</t>
    </rPh>
    <rPh sb="52" eb="54">
      <t>ヒョウジ</t>
    </rPh>
    <phoneticPr fontId="3"/>
  </si>
  <si>
    <t>評価パラメータについては計算法をご参照ください。</t>
    <rPh sb="0" eb="2">
      <t>ヒョウカ</t>
    </rPh>
    <rPh sb="12" eb="15">
      <t>ケイサンホウ</t>
    </rPh>
    <rPh sb="17" eb="19">
      <t>サンショウ</t>
    </rPh>
    <phoneticPr fontId="3"/>
  </si>
  <si>
    <t>天候設定</t>
    <rPh sb="0" eb="2">
      <t>テンコウ</t>
    </rPh>
    <rPh sb="2" eb="4">
      <t>セッテイ</t>
    </rPh>
    <phoneticPr fontId="3"/>
  </si>
  <si>
    <t>ランキングは各天候についても計算されますが、この領域に、基本となる天候未設定のランキングとの差分で表示されます。</t>
    <rPh sb="6" eb="7">
      <t>カク</t>
    </rPh>
    <rPh sb="7" eb="9">
      <t>テンコウ</t>
    </rPh>
    <rPh sb="14" eb="16">
      <t>ケイサン</t>
    </rPh>
    <rPh sb="24" eb="26">
      <t>リョウイキ</t>
    </rPh>
    <rPh sb="28" eb="30">
      <t>キホン</t>
    </rPh>
    <rPh sb="33" eb="35">
      <t>テンコウ</t>
    </rPh>
    <rPh sb="35" eb="38">
      <t>ミセッテイ</t>
    </rPh>
    <rPh sb="46" eb="48">
      <t>サブン</t>
    </rPh>
    <rPh sb="49" eb="51">
      <t>ヒョウジ</t>
    </rPh>
    <phoneticPr fontId="3"/>
  </si>
  <si>
    <t>予測・天候未設定、予測・天候設定</t>
    <rPh sb="0" eb="2">
      <t>ヨソク</t>
    </rPh>
    <rPh sb="3" eb="5">
      <t>テンコウ</t>
    </rPh>
    <rPh sb="5" eb="8">
      <t>ミセッテイ</t>
    </rPh>
    <rPh sb="9" eb="11">
      <t>ヨソク</t>
    </rPh>
    <rPh sb="12" eb="14">
      <t>テンコウ</t>
    </rPh>
    <rPh sb="14" eb="16">
      <t>セッテイ</t>
    </rPh>
    <phoneticPr fontId="3"/>
  </si>
  <si>
    <t>各個体の予測値(及び目標わざ)にて計算したランキングです。</t>
    <rPh sb="0" eb="3">
      <t>カクコタイ</t>
    </rPh>
    <rPh sb="4" eb="7">
      <t>ヨソクチ</t>
    </rPh>
    <rPh sb="8" eb="9">
      <t>オヨ</t>
    </rPh>
    <rPh sb="10" eb="12">
      <t>モクヒョウ</t>
    </rPh>
    <rPh sb="17" eb="19">
      <t>ケイサン</t>
    </rPh>
    <phoneticPr fontId="3"/>
  </si>
  <si>
    <t>操作</t>
    <rPh sb="0" eb="2">
      <t>ソウサ</t>
    </rPh>
    <phoneticPr fontId="3"/>
  </si>
  <si>
    <t>計算が終了すると、計算時間のセルにその時間が秒で書かれます。</t>
    <rPh sb="0" eb="2">
      <t>ケイサン</t>
    </rPh>
    <rPh sb="3" eb="5">
      <t>シュウリョウ</t>
    </rPh>
    <rPh sb="9" eb="11">
      <t>ケイサン</t>
    </rPh>
    <rPh sb="11" eb="13">
      <t>ジカン</t>
    </rPh>
    <rPh sb="22" eb="23">
      <t>ビョウ</t>
    </rPh>
    <rPh sb="24" eb="25">
      <t>カ</t>
    </rPh>
    <phoneticPr fontId="3"/>
  </si>
  <si>
    <t>計算するボタン</t>
    <rPh sb="0" eb="2">
      <t>ケイサン</t>
    </rPh>
    <phoneticPr fontId="3"/>
  </si>
  <si>
    <t>クリアボタン</t>
    <phoneticPr fontId="3"/>
  </si>
  <si>
    <t>削除ボタン</t>
    <rPh sb="0" eb="2">
      <t>サクジョ</t>
    </rPh>
    <phoneticPr fontId="3"/>
  </si>
  <si>
    <t>設定</t>
    <rPh sb="0" eb="2">
      <t>セッテイ</t>
    </rPh>
    <phoneticPr fontId="3"/>
  </si>
  <si>
    <t>予測のみ</t>
    <rPh sb="0" eb="2">
      <t>ヨソク</t>
    </rPh>
    <phoneticPr fontId="3"/>
  </si>
  <si>
    <t>攻撃遅延 (初期値：2)</t>
    <rPh sb="0" eb="4">
      <t>コウゲキ</t>
    </rPh>
    <rPh sb="6" eb="9">
      <t>ショキチ</t>
    </rPh>
    <phoneticPr fontId="3"/>
  </si>
  <si>
    <t>順位数 (初期値：6)</t>
    <rPh sb="0" eb="2">
      <t>ジュンイ</t>
    </rPh>
    <rPh sb="2" eb="3">
      <t>スウ</t>
    </rPh>
    <rPh sb="5" eb="8">
      <t>ショキチ</t>
    </rPh>
    <phoneticPr fontId="3"/>
  </si>
  <si>
    <t>順位付け (初期値：KT)</t>
    <rPh sb="0" eb="3">
      <t>ジュンイヅ</t>
    </rPh>
    <rPh sb="6" eb="9">
      <t>ショキチ</t>
    </rPh>
    <phoneticPr fontId="3"/>
  </si>
  <si>
    <t>この数までのランキングを計算・表示します。</t>
    <rPh sb="2" eb="3">
      <t>スウ</t>
    </rPh>
    <rPh sb="12" eb="14">
      <t>ケイサン</t>
    </rPh>
    <rPh sb="15" eb="17">
      <t>ヒョウジ</t>
    </rPh>
    <phoneticPr fontId="3"/>
  </si>
  <si>
    <t>このパラメータでランク付けします。KTとKTRのみ選択可能です。</t>
    <rPh sb="11" eb="12">
      <t>ヅ</t>
    </rPh>
    <rPh sb="25" eb="27">
      <t>センタク</t>
    </rPh>
    <rPh sb="27" eb="29">
      <t>カノウ</t>
    </rPh>
    <phoneticPr fontId="3"/>
  </si>
  <si>
    <t>CPの上限に値を自動入力させる場合、ここにその数値を設定します。</t>
    <rPh sb="3" eb="5">
      <t>ジョウゲン</t>
    </rPh>
    <rPh sb="6" eb="7">
      <t>アタイ</t>
    </rPh>
    <rPh sb="8" eb="12">
      <t>ジドウ</t>
    </rPh>
    <rPh sb="15" eb="17">
      <t>バアイ</t>
    </rPh>
    <rPh sb="23" eb="25">
      <t>スウチ</t>
    </rPh>
    <rPh sb="26" eb="28">
      <t>セッテイ</t>
    </rPh>
    <phoneticPr fontId="3"/>
  </si>
  <si>
    <t>CPの下限に値を自動入力させる場合、ここにその数値を設定します。</t>
    <rPh sb="3" eb="4">
      <t>シタ</t>
    </rPh>
    <rPh sb="4" eb="5">
      <t>キリ</t>
    </rPh>
    <rPh sb="6" eb="7">
      <t>アタイ</t>
    </rPh>
    <rPh sb="8" eb="12">
      <t>ジドウ</t>
    </rPh>
    <rPh sb="15" eb="17">
      <t>バアイ</t>
    </rPh>
    <rPh sb="23" eb="25">
      <t>スウチ</t>
    </rPh>
    <rPh sb="26" eb="28">
      <t>セッテイ</t>
    </rPh>
    <phoneticPr fontId="3"/>
  </si>
  <si>
    <t>すべてダミーに設定ボタン</t>
    <rPh sb="7" eb="9">
      <t>セッテイ</t>
    </rPh>
    <phoneticPr fontId="3"/>
  </si>
  <si>
    <t>相手の設定を全て削除し、あり得る全てのタイプのダミーに設定します。</t>
    <rPh sb="0" eb="2">
      <t>アイテ</t>
    </rPh>
    <rPh sb="3" eb="5">
      <t>セッテイ</t>
    </rPh>
    <rPh sb="6" eb="7">
      <t>スベ</t>
    </rPh>
    <rPh sb="8" eb="10">
      <t>サクジョ</t>
    </rPh>
    <rPh sb="14" eb="15">
      <t>エ</t>
    </rPh>
    <rPh sb="16" eb="17">
      <t>スベ</t>
    </rPh>
    <rPh sb="27" eb="29">
      <t>セッテイ</t>
    </rPh>
    <phoneticPr fontId="3"/>
  </si>
  <si>
    <t>直ちにランキングの計算を試みることができるようになります。</t>
    <rPh sb="0" eb="1">
      <t>タダ</t>
    </rPh>
    <phoneticPr fontId="3"/>
  </si>
  <si>
    <t>ジムやレイドでは攻撃を避けることができるので、KTRはさほど意味がないと考え、初期設定ではKTによるランキングにしています。</t>
    <rPh sb="8" eb="10">
      <t>コウゲキ</t>
    </rPh>
    <rPh sb="11" eb="12">
      <t>サ</t>
    </rPh>
    <rPh sb="30" eb="32">
      <t>イミ</t>
    </rPh>
    <rPh sb="36" eb="37">
      <t>カンガ</t>
    </rPh>
    <rPh sb="39" eb="41">
      <t>ショキ</t>
    </rPh>
    <rPh sb="41" eb="43">
      <t>セッテイ</t>
    </rPh>
    <phoneticPr fontId="3"/>
  </si>
  <si>
    <t>対戦</t>
    <rPh sb="0" eb="2">
      <t>タイセン</t>
    </rPh>
    <phoneticPr fontId="3"/>
  </si>
  <si>
    <t>ジムシートと同様、対戦(トレーナーバトル・対ロケット団)におけるランキングを計算します。</t>
    <rPh sb="6" eb="8">
      <t>ドウヨウ</t>
    </rPh>
    <rPh sb="9" eb="11">
      <t>タイセン</t>
    </rPh>
    <rPh sb="21" eb="22">
      <t>タイ</t>
    </rPh>
    <rPh sb="26" eb="27">
      <t>ダン</t>
    </rPh>
    <rPh sb="38" eb="40">
      <t>ケイサン</t>
    </rPh>
    <phoneticPr fontId="3"/>
  </si>
  <si>
    <t>またトレーナーバトルでは自分や相手の能力が変化するわざがありますが、おおよその期待値としてそれらをダメージに加味しています。(計算法を参照)</t>
    <rPh sb="12" eb="14">
      <t>ジブン</t>
    </rPh>
    <rPh sb="15" eb="17">
      <t>アイテ</t>
    </rPh>
    <rPh sb="18" eb="20">
      <t>ノウリョク</t>
    </rPh>
    <rPh sb="21" eb="23">
      <t>ヘンカ</t>
    </rPh>
    <rPh sb="39" eb="42">
      <t>キタイチ</t>
    </rPh>
    <rPh sb="54" eb="56">
      <t>カミ</t>
    </rPh>
    <rPh sb="63" eb="66">
      <t>ケイサンホウ</t>
    </rPh>
    <rPh sb="67" eb="69">
      <t>サンショウ</t>
    </rPh>
    <phoneticPr fontId="3"/>
  </si>
  <si>
    <t>期待個体</t>
    <rPh sb="0" eb="2">
      <t>キタイ</t>
    </rPh>
    <rPh sb="2" eb="4">
      <t>コタイ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</si>
  <si>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</si>
  <si>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</si>
  <si>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</si>
  <si>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</si>
  <si>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</si>
  <si>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CPM(PL)は、CPMのシートの表より取得</t>
    <rPh sb="17" eb="18">
      <t>ヒョウ</t>
    </rPh>
    <rPh sb="20" eb="22">
      <t>シュトク</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</si>
  <si>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</si>
  <si>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</si>
  <si>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</si>
  <si>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</si>
  <si>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</si>
  <si>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</si>
  <si>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</si>
  <si>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</si>
  <si>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</si>
  <si>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</si>
  <si>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</si>
  <si>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</si>
  <si>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</si>
  <si>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任意の相手を設定し、各個体とジムバトルを想定した対戦シミュレーション（詳細は「シミュレーションについて」を参照）を行った上で、</t>
    <rPh sb="0" eb="2">
      <t>ニンイ</t>
    </rPh>
    <rPh sb="3" eb="5">
      <t>アイテ</t>
    </rPh>
    <rPh sb="6" eb="8">
      <t>セッテイ</t>
    </rPh>
    <rPh sb="10" eb="11">
      <t>カク</t>
    </rPh>
    <rPh sb="11" eb="13">
      <t>コタイ</t>
    </rPh>
    <rPh sb="20" eb="22">
      <t>ソウテイ</t>
    </rPh>
    <rPh sb="24" eb="26">
      <t>タイセン</t>
    </rPh>
    <rPh sb="35" eb="37">
      <t>ショウサイ</t>
    </rPh>
    <rPh sb="53" eb="55">
      <t>サンショウ</t>
    </rPh>
    <rPh sb="57" eb="58">
      <t>オコナ</t>
    </rPh>
    <rPh sb="60" eb="61">
      <t>ウエ</t>
    </rPh>
    <phoneticPr fontId="3"/>
  </si>
  <si>
    <t>対策となりうる個体をランキングで表示します。</t>
    <phoneticPr fontId="3"/>
  </si>
  <si>
    <t>また、個体シートの個体数が多くなるとランキングの計算に時間が掛かるようになります。</t>
    <rPh sb="3" eb="5">
      <t>コタイ</t>
    </rPh>
    <rPh sb="9" eb="12">
      <t>コタイスウ</t>
    </rPh>
    <rPh sb="13" eb="14">
      <t>オオ</t>
    </rPh>
    <rPh sb="24" eb="26">
      <t>ケイサン</t>
    </rPh>
    <rPh sb="27" eb="29">
      <t>ジカン</t>
    </rPh>
    <rPh sb="30" eb="31">
      <t>カ</t>
    </rPh>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</si>
  <si>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</si>
  <si>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</si>
  <si>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</si>
  <si>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</si>
  <si>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</si>
  <si>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</si>
  <si>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</si>
  <si>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</si>
  <si>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</si>
  <si>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このファイルでは、手持ちのポケモンを分析するために、それらのデータを入力する必要があります。</t>
    <rPh sb="9" eb="11">
      <t>テモ</t>
    </rPh>
    <rPh sb="18" eb="20">
      <t>ブンセキ</t>
    </rPh>
    <rPh sb="34" eb="36">
      <t>ニュウリョク</t>
    </rPh>
    <rPh sb="38" eb="40">
      <t>ヒツヨウ</t>
    </rPh>
    <phoneticPr fontId="3"/>
  </si>
  <si>
    <t>限定技</t>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</si>
  <si>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</si>
  <si>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</si>
  <si>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登場数</t>
    <rPh sb="0" eb="2">
      <t>トウジョウ</t>
    </rPh>
    <rPh sb="2" eb="3">
      <t>スウ</t>
    </rPh>
    <phoneticPr fontId="3"/>
  </si>
  <si>
    <t>タイプ</t>
    <phoneticPr fontId="3"/>
  </si>
  <si>
    <t>星の砂</t>
    <rPh sb="0" eb="1">
      <t>ホシ</t>
    </rPh>
    <rPh sb="2" eb="3">
      <t>スナ</t>
    </rPh>
    <phoneticPr fontId="3"/>
  </si>
  <si>
    <t>必要な</t>
    <rPh sb="0" eb="2">
      <t>ヒツヨウ</t>
    </rPh>
    <phoneticPr fontId="3"/>
  </si>
  <si>
    <t>アメ</t>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</si>
  <si>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</si>
  <si>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</si>
  <si>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</si>
  <si>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</si>
  <si>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</si>
  <si>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</si>
  <si>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</si>
  <si>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</si>
  <si>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</si>
  <si>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</si>
  <si>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</si>
  <si>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</si>
  <si>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</si>
  <si>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</si>
  <si>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</si>
  <si>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</si>
  <si>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</si>
  <si>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</si>
  <si>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</si>
  <si>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</si>
  <si>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</si>
  <si>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</si>
  <si>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</si>
  <si>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能力が変化するゲージわざのtDPTにおいては、その変化が加味される。</t>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</si>
  <si>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</si>
  <si>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</si>
  <si>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</si>
  <si>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</si>
  <si>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</si>
  <si>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</si>
  <si>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</si>
  <si>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</si>
  <si>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</si>
  <si>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</si>
  <si>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</si>
  <si>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</si>
  <si>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</si>
  <si>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</si>
  <si>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</si>
  <si>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</si>
  <si>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</si>
  <si>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</si>
  <si>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</si>
  <si>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</si>
  <si>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</si>
  <si>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</si>
  <si>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</si>
  <si>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</si>
  <si>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</si>
  <si>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</si>
  <si>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</si>
  <si>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</si>
  <si>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</si>
  <si>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</si>
  <si>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</si>
  <si>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</si>
  <si>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</si>
  <si>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</si>
  <si>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</si>
  <si>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</si>
  <si>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</si>
  <si>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</si>
  <si>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</si>
  <si>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</si>
  <si>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</si>
  <si>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</si>
  <si>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</si>
  <si>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</si>
  <si>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</si>
  <si>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</si>
  <si>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</si>
  <si>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</si>
  <si>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</si>
  <si>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</si>
  <si>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</si>
  <si>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</si>
  <si>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</si>
  <si>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</si>
  <si>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</si>
  <si>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</si>
  <si>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</si>
  <si>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</si>
  <si>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</si>
  <si>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</si>
  <si>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</si>
  <si>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</si>
  <si>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</si>
  <si>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</si>
  <si>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</si>
  <si>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</si>
  <si>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</si>
  <si>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</si>
  <si>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</si>
  <si>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</si>
  <si>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</si>
  <si>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</si>
  <si>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</si>
  <si>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</si>
  <si>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</si>
  <si>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</si>
  <si>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</si>
  <si>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</si>
  <si>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</si>
  <si>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</si>
  <si>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</si>
  <si>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</si>
  <si>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</si>
  <si>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</si>
  <si>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</si>
  <si>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</si>
  <si>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</si>
  <si>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</si>
  <si>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</si>
  <si>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</si>
  <si>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</si>
  <si>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</si>
  <si>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</si>
  <si>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</si>
  <si>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</si>
  <si>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</si>
  <si>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</si>
  <si>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</si>
  <si>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</si>
  <si>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</si>
  <si>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</si>
  <si>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</si>
  <si>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</si>
  <si>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</si>
  <si>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</si>
  <si>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</si>
  <si>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</si>
  <si>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</si>
  <si>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</si>
  <si>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</si>
  <si>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</si>
  <si>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</si>
  <si>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</si>
  <si>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</si>
  <si>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</si>
  <si>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</si>
  <si>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</si>
  <si>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</si>
  <si>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</si>
  <si>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</si>
  <si>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</si>
  <si>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</si>
  <si>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</si>
  <si>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</si>
  <si>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</si>
  <si>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</si>
  <si>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</si>
  <si>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</si>
  <si>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</si>
  <si>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</si>
  <si>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</si>
  <si>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</si>
  <si>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</si>
  <si>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</si>
  <si>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</si>
  <si>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</si>
  <si>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</si>
  <si>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</si>
  <si>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</si>
  <si>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</si>
  <si>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</si>
  <si>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</si>
  <si>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</si>
  <si>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</si>
  <si>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</si>
  <si>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</si>
  <si>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</si>
  <si>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</si>
  <si>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</si>
  <si>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</si>
  <si>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</si>
  <si>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</si>
  <si>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</si>
  <si>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</si>
  <si>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</si>
  <si>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</si>
  <si>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</si>
  <si>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</si>
  <si>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</si>
  <si>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</si>
  <si>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</si>
  <si>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</si>
  <si>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</si>
  <si>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</si>
  <si>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</si>
  <si>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</si>
  <si>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</si>
  <si>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</si>
  <si>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</si>
  <si>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</si>
  <si>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</si>
  <si>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</si>
  <si>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</si>
  <si>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</si>
  <si>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</si>
  <si>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</si>
  <si>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</si>
  <si>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</si>
  <si>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</si>
  <si>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</si>
  <si>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</si>
  <si>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</si>
  <si>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</si>
  <si>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</si>
  <si>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</si>
  <si>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</si>
  <si>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</si>
  <si>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</si>
  <si>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</si>
  <si>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</si>
  <si>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</si>
  <si>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</si>
  <si>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</si>
  <si>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</si>
  <si>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</si>
  <si>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</si>
  <si>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</si>
  <si>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</si>
  <si>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</si>
  <si>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</si>
  <si>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</si>
  <si>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</si>
  <si>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</si>
  <si>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</si>
  <si>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</si>
  <si>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</si>
  <si>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</si>
  <si>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</si>
  <si>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</si>
  <si>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</si>
  <si>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</si>
  <si>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</si>
  <si>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</si>
  <si>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</si>
  <si>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</si>
  <si>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</si>
  <si>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</si>
  <si>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</si>
  <si>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</si>
  <si>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</si>
  <si>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</si>
  <si>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</si>
  <si>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</si>
  <si>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</si>
  <si>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</si>
  <si>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</si>
  <si>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</si>
  <si>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</si>
  <si>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</si>
  <si>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</si>
  <si>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</si>
  <si>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</si>
  <si>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</si>
  <si>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</si>
  <si>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</si>
  <si>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</si>
  <si>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</si>
  <si>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</si>
  <si>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</si>
  <si>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</si>
  <si>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</si>
  <si>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</si>
  <si>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</si>
  <si>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</si>
  <si>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</si>
  <si>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</si>
  <si>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ロケット団</t>
    <rPh sb="4" eb="5">
      <t>ダン</t>
    </rPh>
    <phoneticPr fontId="3"/>
  </si>
  <si>
    <t>種族名</t>
    <rPh sb="0" eb="2">
      <t>シュゾク</t>
    </rPh>
    <rPh sb="2" eb="3">
      <t>メイ</t>
    </rPh>
    <phoneticPr fontId="3"/>
  </si>
  <si>
    <t>番目</t>
    <rPh sb="0" eb="2">
      <t>バンメ</t>
    </rPh>
    <phoneticPr fontId="3"/>
  </si>
  <si>
    <t>シエラ</t>
    <phoneticPr fontId="3"/>
  </si>
  <si>
    <t>アブソル</t>
    <phoneticPr fontId="3"/>
  </si>
  <si>
    <t>フーディン</t>
    <phoneticPr fontId="3"/>
  </si>
  <si>
    <t>ラプラス</t>
    <phoneticPr fontId="3"/>
  </si>
  <si>
    <t>ノクタス</t>
    <phoneticPr fontId="3"/>
  </si>
  <si>
    <t>ダーテング</t>
    <phoneticPr fontId="3"/>
  </si>
  <si>
    <t>ヘルガー</t>
    <phoneticPr fontId="3"/>
  </si>
  <si>
    <t>オドシシ</t>
    <phoneticPr fontId="3"/>
  </si>
  <si>
    <t>グリフ</t>
    <phoneticPr fontId="3"/>
  </si>
  <si>
    <t>ガラガラ</t>
    <phoneticPr fontId="3"/>
  </si>
  <si>
    <t>イワーク</t>
    <phoneticPr fontId="3"/>
  </si>
  <si>
    <t>エレキブル</t>
    <phoneticPr fontId="3"/>
  </si>
  <si>
    <t>バンギラス</t>
    <phoneticPr fontId="3"/>
  </si>
  <si>
    <t>ラグラージ</t>
    <phoneticPr fontId="3"/>
  </si>
  <si>
    <t>ドダイトス</t>
    <phoneticPr fontId="3"/>
  </si>
  <si>
    <t>エルレイド</t>
    <phoneticPr fontId="3"/>
  </si>
  <si>
    <t>タツベイ</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</si>
  <si>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</si>
  <si>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</si>
  <si>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</si>
  <si>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</si>
  <si>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</si>
  <si>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</si>
  <si>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</si>
  <si>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</si>
  <si>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</si>
  <si>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パルシェン</t>
    <phoneticPr fontId="3"/>
  </si>
  <si>
    <t>ガルーラ</t>
    <phoneticPr fontId="3"/>
  </si>
  <si>
    <t>ガブリアス</t>
    <phoneticPr fontId="3"/>
  </si>
  <si>
    <t>ファイヤー</t>
    <phoneticPr fontId="3"/>
  </si>
  <si>
    <t>名称</t>
    <rPh sb="0" eb="2">
      <t>メイショウ</t>
    </rPh>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</si>
  <si>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</si>
  <si>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t>CPM（ポケモンのレベル毎の係数）などのデータが書かれています。</t>
    <rPh sb="12" eb="13">
      <t>ゴト</t>
    </rPh>
    <rPh sb="14" eb="16">
      <t>ケイスウ</t>
    </rPh>
    <rPh sb="24" eb="25">
      <t>カ</t>
    </rPh>
    <phoneticPr fontId="3"/>
  </si>
  <si>
    <r>
      <t>む</t>
    </r>
    <r>
      <rPr>
        <sz val="10"/>
        <color rgb="FFF3D23F"/>
        <rFont val="メイリオ"/>
        <family val="3"/>
        <charset val="128"/>
        <scheme val="minor"/>
      </rPr>
      <t>で</t>
    </r>
  </si>
  <si>
    <r>
      <t>わるあがき</t>
    </r>
    <r>
      <rPr>
        <sz val="10"/>
        <color rgb="FF0B68B9"/>
        <rFont val="メイリオ"/>
        <family val="3"/>
        <charset val="128"/>
        <scheme val="minor"/>
      </rPr>
      <t>,</t>
    </r>
    <r>
      <rPr>
        <sz val="10"/>
        <color rgb="FF8C949C"/>
        <rFont val="メイリオ"/>
        <family val="3"/>
        <charset val="128"/>
        <scheme val="minor"/>
      </rPr>
      <t>おんがえし</t>
    </r>
  </si>
  <si>
    <r>
      <t>ひっかく,</t>
    </r>
    <r>
      <rPr>
        <sz val="10"/>
        <color rgb="FFD47948"/>
        <rFont val="メイリオ"/>
        <family val="2"/>
        <charset val="128"/>
        <scheme val="minor"/>
      </rPr>
      <t>マッドショット</t>
    </r>
  </si>
  <si>
    <r>
      <t>ひっかく,</t>
    </r>
    <r>
      <rPr>
        <sz val="10"/>
        <color rgb="FF90BE2F"/>
        <rFont val="メイリオ"/>
        <family val="2"/>
        <charset val="128"/>
        <scheme val="minor"/>
      </rPr>
      <t>むしくい</t>
    </r>
  </si>
  <si>
    <r>
      <t>みずでっぽう,</t>
    </r>
    <r>
      <rPr>
        <sz val="10"/>
        <color rgb="FF0B68B9"/>
        <rFont val="メイリオ"/>
        <family val="2"/>
        <charset val="128"/>
        <scheme val="minor"/>
      </rPr>
      <t>りゅうのいぶき</t>
    </r>
  </si>
  <si>
    <t>げんしのちから,がんせきふうじ</t>
  </si>
  <si>
    <r>
      <t>げんしのちから</t>
    </r>
    <r>
      <rPr>
        <sz val="10"/>
        <color rgb="FF0B68B9"/>
        <rFont val="メイリオ"/>
        <family val="3"/>
        <charset val="128"/>
        <scheme val="minor"/>
      </rPr>
      <t>,</t>
    </r>
    <r>
      <rPr>
        <sz val="10"/>
        <color rgb="FFC4B589"/>
        <rFont val="メイリオ"/>
        <family val="3"/>
        <charset val="128"/>
        <scheme val="minor"/>
      </rPr>
      <t>がんせきふうじ</t>
    </r>
  </si>
  <si>
    <r>
      <t>くさむすび</t>
    </r>
    <r>
      <rPr>
        <sz val="10"/>
        <color rgb="FF0B68B9"/>
        <rFont val="メイリオ"/>
        <family val="3"/>
        <charset val="128"/>
        <scheme val="minor"/>
      </rPr>
      <t>,</t>
    </r>
    <r>
      <rPr>
        <sz val="10"/>
        <color rgb="FFF86E73"/>
        <rFont val="メイリオ"/>
        <family val="3"/>
        <charset val="128"/>
        <scheme val="minor"/>
      </rPr>
      <t>サイコキネシス</t>
    </r>
  </si>
  <si>
    <t>防御力</t>
    <phoneticPr fontId="3"/>
  </si>
  <si>
    <t>HP</t>
    <phoneticPr fontId="3"/>
  </si>
  <si>
    <t>SCP</t>
    <phoneticPr fontId="3"/>
  </si>
  <si>
    <t>DCP</t>
    <phoneticPr fontId="3"/>
  </si>
  <si>
    <t>cDPSランク2</t>
    <phoneticPr fontId="3"/>
  </si>
  <si>
    <t>tDPE最大ゲージわざ</t>
    <phoneticPr fontId="3"/>
  </si>
  <si>
    <t>cDPTランク3</t>
    <phoneticPr fontId="3"/>
  </si>
  <si>
    <t>とっしん,はたく</t>
  </si>
  <si>
    <r>
      <t>むし</t>
    </r>
    <r>
      <rPr>
        <sz val="11"/>
        <color theme="1"/>
        <rFont val="メイリオ"/>
        <family val="2"/>
        <charset val="128"/>
        <scheme val="minor"/>
      </rPr>
      <t>,</t>
    </r>
    <r>
      <rPr>
        <sz val="11"/>
        <color rgb="FFF3D23F"/>
        <rFont val="メイリオ"/>
        <family val="2"/>
        <charset val="128"/>
        <scheme val="minor"/>
      </rPr>
      <t>でんき</t>
    </r>
  </si>
  <si>
    <r>
      <t>い</t>
    </r>
    <r>
      <rPr>
        <sz val="11"/>
        <color rgb="FFFF9D54"/>
        <rFont val="メイリオ"/>
        <family val="2"/>
        <charset val="128"/>
        <scheme val="minor"/>
      </rPr>
      <t>ほ</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</si>
  <si>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</si>
  <si>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508698"/>
        <rFont val="メイリオ"/>
        <family val="2"/>
        <charset val="128"/>
        <scheme val="minor"/>
      </rPr>
      <t>は</t>
    </r>
    <r>
      <rPr>
        <sz val="11"/>
        <color rgb="FFF3D23F"/>
        <rFont val="メイリオ"/>
        <family val="2"/>
        <charset val="128"/>
        <scheme val="minor"/>
      </rPr>
      <t>で</t>
    </r>
    <r>
      <rPr>
        <sz val="11"/>
        <color rgb="FF5EB654"/>
        <rFont val="メイリオ"/>
        <family val="2"/>
        <charset val="128"/>
        <scheme val="minor"/>
      </rPr>
      <t>く</t>
    </r>
  </si>
  <si>
    <t>エビワラー,オコリザル,カイリキー,カポエラー,ゴーリキー,サワムラー,ダゲキ,ドッコラー,ドテッコツ,ナゲキ,ハリテヤマ,バルキー,マクノシタ,マンキー,リオル,ローブシン</t>
  </si>
  <si>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</si>
  <si>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</si>
  <si>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</si>
  <si>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</si>
  <si>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シンボラー,ネイティ,ネイティオ,ルギア</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</si>
  <si>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</si>
  <si>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</si>
  <si>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アイアント,シュバルゴ,ハッサム,フォレトス,ミノマダム(ゴミ)</t>
  </si>
  <si>
    <t>デンチュラ,バチュル</t>
  </si>
  <si>
    <t>ウソッキー,ウソハチ,ガントル,ギガイアス,ズガイドス,ダンゴロ,ノズパス,ラムパルド,レジロック</t>
  </si>
  <si>
    <t>オムスター,オムナイト,カブト,カブトプス,サニーゴ,ジーランス,プロトーガ</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</si>
  <si>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ミジュマル,ミズゴロウ,ミロカロス,ラブカス,ワニノコ</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</si>
  <si>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</si>
  <si>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</si>
  <si>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</si>
  <si>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508698"/>
        <rFont val="メイリオ"/>
        <family val="3"/>
        <charset val="128"/>
        <scheme val="minor"/>
      </rPr>
      <t>バレットパンチ</t>
    </r>
    <r>
      <rPr>
        <sz val="10"/>
        <color rgb="FF0B68B9"/>
        <rFont val="メイリオ"/>
        <family val="3"/>
        <charset val="128"/>
        <scheme val="minor"/>
      </rPr>
      <t>,</t>
    </r>
    <r>
      <rPr>
        <sz val="10"/>
        <color rgb="FFCA4067"/>
        <rFont val="メイリオ"/>
        <family val="3"/>
        <charset val="128"/>
        <scheme val="minor"/>
      </rPr>
      <t>からてチョップ</t>
    </r>
  </si>
  <si>
    <r>
      <t>みずでっぽう,</t>
    </r>
    <r>
      <rPr>
        <sz val="10"/>
        <color rgb="FF71C7BA"/>
        <rFont val="メイリオ"/>
        <family val="2"/>
        <charset val="128"/>
        <scheme val="minor"/>
      </rPr>
      <t>こおりのつぶて</t>
    </r>
  </si>
  <si>
    <r>
      <t>したでなめる</t>
    </r>
    <r>
      <rPr>
        <sz val="10"/>
        <color rgb="FF0B68B9"/>
        <rFont val="メイリオ"/>
        <family val="3"/>
        <charset val="128"/>
        <scheme val="minor"/>
      </rPr>
      <t>,</t>
    </r>
    <r>
      <rPr>
        <sz val="10"/>
        <color rgb="FF8C949C"/>
        <rFont val="メイリオ"/>
        <family val="3"/>
        <charset val="128"/>
        <scheme val="minor"/>
      </rPr>
      <t>あくび</t>
    </r>
  </si>
  <si>
    <r>
      <t>りゅうのいぶき,</t>
    </r>
    <r>
      <rPr>
        <sz val="10"/>
        <color rgb="FF4F90D1"/>
        <rFont val="メイリオ"/>
        <family val="3"/>
        <charset val="128"/>
        <scheme val="minor"/>
      </rPr>
      <t>みずでっぽう</t>
    </r>
  </si>
  <si>
    <r>
      <t>はじけるほのお</t>
    </r>
    <r>
      <rPr>
        <sz val="10"/>
        <color rgb="FF0B68B9"/>
        <rFont val="メイリオ"/>
        <family val="3"/>
        <charset val="128"/>
        <scheme val="minor"/>
      </rPr>
      <t>,</t>
    </r>
    <r>
      <rPr>
        <sz val="10"/>
        <color rgb="FFFF9D54"/>
        <rFont val="メイリオ"/>
        <family val="3"/>
        <charset val="128"/>
        <scheme val="minor"/>
      </rPr>
      <t>かえんほうしゃ</t>
    </r>
  </si>
  <si>
    <r>
      <t>ばくれつパンチ</t>
    </r>
    <r>
      <rPr>
        <sz val="10"/>
        <color rgb="FF0B68B9"/>
        <rFont val="メイリオ"/>
        <family val="3"/>
        <charset val="128"/>
        <scheme val="minor"/>
      </rPr>
      <t>,</t>
    </r>
    <r>
      <rPr>
        <sz val="10"/>
        <color rgb="FF5EB654"/>
        <rFont val="メイリオ"/>
        <family val="3"/>
        <charset val="128"/>
        <scheme val="minor"/>
      </rPr>
      <t>くさむすび</t>
    </r>
  </si>
  <si>
    <r>
      <t>どろかけ,</t>
    </r>
    <r>
      <rPr>
        <sz val="10"/>
        <color rgb="FF4F90D1"/>
        <rFont val="メイリオ"/>
        <family val="2"/>
        <charset val="128"/>
        <scheme val="minor"/>
      </rPr>
      <t>めざめるパワー水</t>
    </r>
  </si>
  <si>
    <r>
      <t>アクアテール</t>
    </r>
    <r>
      <rPr>
        <sz val="10"/>
        <color rgb="FF0B68B9"/>
        <rFont val="メイリオ"/>
        <family val="3"/>
        <charset val="128"/>
        <scheme val="minor"/>
      </rPr>
      <t>,</t>
    </r>
    <r>
      <rPr>
        <sz val="10"/>
        <color rgb="FF4F90D1"/>
        <rFont val="メイリオ"/>
        <family val="3"/>
        <charset val="128"/>
        <scheme val="minor"/>
      </rPr>
      <t>だくりゅう</t>
    </r>
  </si>
  <si>
    <r>
      <t>ばくれつパンチ</t>
    </r>
    <r>
      <rPr>
        <sz val="10"/>
        <color rgb="FF585365"/>
        <rFont val="メイリオ"/>
        <family val="3"/>
        <charset val="128"/>
        <scheme val="minor"/>
      </rPr>
      <t>,</t>
    </r>
    <r>
      <rPr>
        <sz val="10"/>
        <color rgb="FF5EB654"/>
        <rFont val="メイリオ"/>
        <family val="3"/>
        <charset val="128"/>
        <scheme val="minor"/>
      </rPr>
      <t>くさむすび</t>
    </r>
  </si>
  <si>
    <r>
      <t>アイアンテール</t>
    </r>
    <r>
      <rPr>
        <sz val="10"/>
        <color rgb="FF0B68B9"/>
        <rFont val="メイリオ"/>
        <family val="3"/>
        <charset val="128"/>
        <scheme val="minor"/>
      </rPr>
      <t>,</t>
    </r>
    <r>
      <rPr>
        <sz val="10"/>
        <color rgb="FF8C949C"/>
        <rFont val="メイリオ"/>
        <family val="3"/>
        <charset val="128"/>
        <scheme val="minor"/>
      </rPr>
      <t>ひっかく</t>
    </r>
  </si>
  <si>
    <t>耐性</t>
    <phoneticPr fontId="3"/>
  </si>
  <si>
    <t>x0.39</t>
    <phoneticPr fontId="3"/>
  </si>
  <si>
    <t>cDPSランク5</t>
    <phoneticPr fontId="3"/>
  </si>
  <si>
    <t>チャージ最速通常わざ</t>
    <phoneticPr fontId="3"/>
  </si>
  <si>
    <t>ダメージ最大ゲージわざ</t>
    <phoneticPr fontId="3"/>
  </si>
  <si>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</si>
  <si>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r>
      <t>ムーンフォース,</t>
    </r>
    <r>
      <rPr>
        <sz val="10"/>
        <color rgb="FF8C949C"/>
        <rFont val="メイリオ"/>
        <family val="2"/>
        <charset val="128"/>
        <scheme val="minor"/>
      </rPr>
      <t>おんがえし</t>
    </r>
  </si>
  <si>
    <r>
      <t>くさむすび,</t>
    </r>
    <r>
      <rPr>
        <sz val="10"/>
        <color rgb="FFF86E73"/>
        <rFont val="メイリオ"/>
        <family val="2"/>
        <charset val="128"/>
        <scheme val="minor"/>
      </rPr>
      <t>サイコキネシス</t>
    </r>
  </si>
  <si>
    <t>ギガインパクト,はかいこうせん</t>
  </si>
  <si>
    <r>
      <t>じしん,</t>
    </r>
    <r>
      <rPr>
        <sz val="10"/>
        <color rgb="FF5EB654"/>
        <rFont val="メイリオ"/>
        <family val="2"/>
        <charset val="128"/>
        <scheme val="minor"/>
      </rPr>
      <t>ハードプラント</t>
    </r>
  </si>
  <si>
    <r>
      <t>ばくれつパンチ,</t>
    </r>
    <r>
      <rPr>
        <sz val="10"/>
        <color rgb="FF5EB654"/>
        <rFont val="メイリオ"/>
        <family val="2"/>
        <charset val="128"/>
        <scheme val="minor"/>
      </rPr>
      <t>くさむすび</t>
    </r>
  </si>
  <si>
    <r>
      <t>タネマシンガン,</t>
    </r>
    <r>
      <rPr>
        <sz val="10"/>
        <color rgb="FFA364C3"/>
        <rFont val="メイリオ"/>
        <family val="2"/>
        <charset val="128"/>
        <scheme val="minor"/>
      </rPr>
      <t>どくづき</t>
    </r>
  </si>
  <si>
    <t>x0.244</t>
    <phoneticPr fontId="3"/>
  </si>
  <si>
    <t>耐久力</t>
    <phoneticPr fontId="3"/>
  </si>
  <si>
    <t>チャージ最速通常わざ</t>
    <phoneticPr fontId="3"/>
  </si>
  <si>
    <t>tDPS最大ゲージわざ</t>
    <phoneticPr fontId="3"/>
  </si>
  <si>
    <t>cDPSランク1</t>
    <phoneticPr fontId="3"/>
  </si>
  <si>
    <t>攻撃力</t>
    <phoneticPr fontId="3"/>
  </si>
  <si>
    <t>CP</t>
    <phoneticPr fontId="3"/>
  </si>
  <si>
    <t>ダメージ最大通常わざ</t>
    <phoneticPr fontId="3"/>
  </si>
  <si>
    <t>tDPT最大通常わざ</t>
    <phoneticPr fontId="3"/>
  </si>
  <si>
    <t>tDPS最大通常わざ</t>
    <phoneticPr fontId="3"/>
  </si>
  <si>
    <t>ジム</t>
    <phoneticPr fontId="3"/>
  </si>
  <si>
    <t>ダメージ最大通常わざ</t>
    <phoneticPr fontId="3"/>
  </si>
  <si>
    <t>x1.6</t>
    <phoneticPr fontId="3"/>
  </si>
  <si>
    <t>cDPTランク2</t>
    <phoneticPr fontId="3"/>
  </si>
  <si>
    <t>タイプ</t>
    <phoneticPr fontId="3"/>
  </si>
  <si>
    <t>弱点</t>
    <phoneticPr fontId="3"/>
  </si>
  <si>
    <t>x2.56</t>
    <phoneticPr fontId="3"/>
  </si>
  <si>
    <t>x0.625</t>
    <phoneticPr fontId="3"/>
  </si>
  <si>
    <t>評価パラメータ</t>
    <phoneticPr fontId="3"/>
  </si>
  <si>
    <t>cDPSランク3</t>
    <phoneticPr fontId="3"/>
  </si>
  <si>
    <t>cDPSランク4</t>
    <phoneticPr fontId="3"/>
  </si>
  <si>
    <t>ダメージ最大ゲージわざ</t>
    <phoneticPr fontId="3"/>
  </si>
  <si>
    <t>cDPTランク1</t>
    <phoneticPr fontId="3"/>
  </si>
  <si>
    <t>cDPTランク4</t>
    <phoneticPr fontId="3"/>
  </si>
  <si>
    <t>cDPTランク5</t>
    <phoneticPr fontId="3"/>
  </si>
  <si>
    <r>
      <t>あまえる</t>
    </r>
    <r>
      <rPr>
        <sz val="10"/>
        <color rgb="FFF86E73"/>
        <rFont val="メイリオ"/>
        <family val="2"/>
        <charset val="128"/>
        <scheme val="minor"/>
      </rPr>
      <t>,ねんりき,</t>
    </r>
    <r>
      <rPr>
        <sz val="10"/>
        <color rgb="FFF3D23F"/>
        <rFont val="メイリオ"/>
        <family val="2"/>
        <charset val="128"/>
        <scheme val="minor"/>
      </rPr>
      <t>ボルトチェンジ</t>
    </r>
  </si>
  <si>
    <t>種族マップを作り直す</t>
    <rPh sb="0" eb="2">
      <t>シュゾク</t>
    </rPh>
    <rPh sb="6" eb="7">
      <t>ツク</t>
    </rPh>
    <rPh sb="8" eb="9">
      <t>ナオ</t>
    </rPh>
    <phoneticPr fontId="3"/>
  </si>
  <si>
    <t>「ロケット団を追加」ボタンをクリックすると、表の下部にロケット団リーダーの使う種族が追加されます。</t>
    <rPh sb="5" eb="6">
      <t>ダン</t>
    </rPh>
    <rPh sb="7" eb="9">
      <t>ツイカ</t>
    </rPh>
    <rPh sb="22" eb="23">
      <t>ヒョウ</t>
    </rPh>
    <rPh sb="24" eb="26">
      <t>カブ</t>
    </rPh>
    <rPh sb="31" eb="32">
      <t>ダン</t>
    </rPh>
    <rPh sb="37" eb="38">
      <t>ツカ</t>
    </rPh>
    <rPh sb="39" eb="41">
      <t>シュゾク</t>
    </rPh>
    <rPh sb="42" eb="44">
      <t>ツイカ</t>
    </rPh>
    <phoneticPr fontId="3"/>
  </si>
  <si>
    <t>しかしCPM表にある元データが最新のものとは限りませんので、事前に確認・修正してください。</t>
    <rPh sb="6" eb="7">
      <t>ヒョウ</t>
    </rPh>
    <rPh sb="10" eb="11">
      <t>モト</t>
    </rPh>
    <rPh sb="15" eb="17">
      <t>サイシン</t>
    </rPh>
    <rPh sb="22" eb="23">
      <t>カギ</t>
    </rPh>
    <rPh sb="30" eb="32">
      <t>ジゼン</t>
    </rPh>
    <rPh sb="33" eb="35">
      <t>カクニン</t>
    </rPh>
    <rPh sb="36" eb="38">
      <t>シュウセイ</t>
    </rPh>
    <phoneticPr fontId="3"/>
  </si>
  <si>
    <t>―</t>
    <phoneticPr fontId="3"/>
  </si>
  <si>
    <t>設定</t>
    <rPh sb="0" eb="2">
      <t>セッテイ</t>
    </rPh>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</si>
  <si>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</si>
  <si>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</si>
  <si>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</si>
  <si>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</si>
  <si>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</si>
  <si>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CPM、わざによる能力変化の、段階ごとの係数、およびロケット団のリーダーのポケモン種族が記されています。</t>
    <rPh sb="9" eb="11">
      <t>ノウリョク</t>
    </rPh>
    <rPh sb="11" eb="13">
      <t>ヘンカ</t>
    </rPh>
    <rPh sb="15" eb="17">
      <t>ダンカイ</t>
    </rPh>
    <rPh sb="20" eb="22">
      <t>ケイスウ</t>
    </rPh>
    <rPh sb="30" eb="31">
      <t>ダン</t>
    </rPh>
    <rPh sb="41" eb="43">
      <t>シュゾク</t>
    </rPh>
    <rPh sb="44" eb="45">
      <t>シル</t>
    </rPh>
    <phoneticPr fontId="3"/>
  </si>
  <si>
    <t>CPM表はPLについて降順のままにしてくだい。（各パラメータ計算における詮索の高速化のため）</t>
    <rPh sb="3" eb="4">
      <t>ヒョウ</t>
    </rPh>
    <rPh sb="11" eb="13">
      <t>コウジュン</t>
    </rPh>
    <rPh sb="24" eb="25">
      <t>カク</t>
    </rPh>
    <rPh sb="30" eb="32">
      <t>ケイサン</t>
    </rPh>
    <rPh sb="36" eb="38">
      <t>センサク</t>
    </rPh>
    <rPh sb="39" eb="42">
      <t>コウソクカ</t>
    </rPh>
    <phoneticPr fontId="3"/>
  </si>
  <si>
    <t>もしCPM表に誤りがある場合は、修正の上、管理シートに示された処理を行ってください。</t>
    <rPh sb="5" eb="6">
      <t>ヒョウ</t>
    </rPh>
    <rPh sb="7" eb="8">
      <t>アヤマ</t>
    </rPh>
    <rPh sb="12" eb="14">
      <t>バアイ</t>
    </rPh>
    <rPh sb="16" eb="18">
      <t>シュウセイ</t>
    </rPh>
    <rPh sb="19" eb="20">
      <t>ウエ</t>
    </rPh>
    <rPh sb="21" eb="23">
      <t>カンリ</t>
    </rPh>
    <rPh sb="27" eb="28">
      <t>シメ</t>
    </rPh>
    <rPh sb="31" eb="33">
      <t>ショリ</t>
    </rPh>
    <rPh sb="34" eb="35">
      <t>オコナ</t>
    </rPh>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</si>
  <si>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</si>
  <si>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</si>
  <si>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</si>
  <si>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</si>
  <si>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もしわざによる能力変化の表に誤りがある場合は、修正の上、管理シートに示された処理を行ってください。</t>
    <rPh sb="7" eb="9">
      <t>ノウリョク</t>
    </rPh>
    <rPh sb="9" eb="11">
      <t>ヘンカ</t>
    </rPh>
    <rPh sb="12" eb="13">
      <t>ヒョウ</t>
    </rPh>
    <rPh sb="14" eb="15">
      <t>アヤマ</t>
    </rPh>
    <rPh sb="19" eb="21">
      <t>バアイ</t>
    </rPh>
    <rPh sb="23" eb="25">
      <t>シュウセイ</t>
    </rPh>
    <rPh sb="26" eb="27">
      <t>ウエ</t>
    </rPh>
    <rPh sb="28" eb="30">
      <t>カンリ</t>
    </rPh>
    <rPh sb="34" eb="35">
      <t>シメ</t>
    </rPh>
    <rPh sb="38" eb="40">
      <t>ショリ</t>
    </rPh>
    <rPh sb="41" eb="42">
      <t>オコナ</t>
    </rPh>
    <phoneticPr fontId="3"/>
  </si>
  <si>
    <t>下っ端を追加することも可能です。</t>
    <rPh sb="0" eb="1">
      <t>シタ</t>
    </rPh>
    <rPh sb="2" eb="3">
      <t>パ</t>
    </rPh>
    <rPh sb="4" eb="6">
      <t>ツイカ</t>
    </rPh>
    <rPh sb="11" eb="13">
      <t>カノウ</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</si>
  <si>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</si>
  <si>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各シートのパラメータの最大値・平均値が集計されています。またジム・対戦シートの機能で利用する、ダミーの敵のパラメータが書かれています。</t>
    <rPh sb="0" eb="1">
      <t>カク</t>
    </rPh>
    <rPh sb="11" eb="14">
      <t>サイダイチ</t>
    </rPh>
    <rPh sb="15" eb="18">
      <t>ヘイキンチ</t>
    </rPh>
    <rPh sb="19" eb="21">
      <t>シュウケイ</t>
    </rPh>
    <rPh sb="33" eb="35">
      <t>タイセン</t>
    </rPh>
    <rPh sb="39" eb="41">
      <t>キノウ</t>
    </rPh>
    <rPh sb="42" eb="44">
      <t>リヨウ</t>
    </rPh>
    <rPh sb="51" eb="52">
      <t>テキ</t>
    </rPh>
    <rPh sb="59" eb="60">
      <t>カ</t>
    </rPh>
    <phoneticPr fontId="3"/>
  </si>
  <si>
    <t>ダミーの敵のパラメータは、必要に応じて修正してください。</t>
    <rPh sb="4" eb="5">
      <t>テキ</t>
    </rPh>
    <rPh sb="13" eb="15">
      <t>ヒツヨウ</t>
    </rPh>
    <rPh sb="16" eb="17">
      <t>オウ</t>
    </rPh>
    <rPh sb="19" eb="21">
      <t>シュウセイ</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</si>
  <si>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</si>
  <si>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</si>
  <si>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シートの変更後は管理シートにある必要な処理を行います。（色違いから相棒距離までの列のみの修正の場合は、処理は必要ありません。）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1" eb="53">
      <t>ショリ</t>
    </rPh>
    <rPh sb="54" eb="56">
      <t>ヒツヨウ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</si>
  <si>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</si>
  <si>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</si>
  <si>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</si>
  <si>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</si>
  <si>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</si>
  <si>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※この機能はテスト・デバッグが十分に行われていません。</t>
    <rPh sb="3" eb="5">
      <t>キノウ</t>
    </rPh>
    <rPh sb="15" eb="17">
      <t>ジュウブン</t>
    </rPh>
    <rPh sb="18" eb="19">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</si>
  <si>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</si>
  <si>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</si>
  <si>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</si>
  <si>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</si>
  <si>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</si>
  <si>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</si>
  <si>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</si>
  <si>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</si>
  <si>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</si>
  <si>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</si>
  <si>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</si>
  <si>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</si>
  <si>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</si>
  <si>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</si>
  <si>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</si>
  <si>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</si>
  <si>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</si>
  <si>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</si>
  <si>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</si>
  <si>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以上。</t>
    <rPh sb="0" eb="2">
      <t>イジョウ</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</si>
  <si>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</si>
  <si>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</si>
  <si>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</si>
  <si>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</si>
  <si>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</si>
  <si>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</si>
  <si>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</si>
  <si>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</si>
  <si>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</si>
  <si>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</si>
  <si>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</si>
  <si>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</si>
  <si>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</si>
  <si>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</si>
  <si>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</si>
  <si>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</si>
  <si>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</si>
  <si>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各シートでの検索はExcelの機能で行います。フィルターが設定してあるシートでは、その機能でソート・フィルターが行えます。</t>
    <rPh sb="1" eb="2">
      <t>カク</t>
    </rPh>
    <rPh sb="7" eb="9">
      <t>ケンサク</t>
    </rPh>
    <rPh sb="16" eb="18">
      <t>キノウ</t>
    </rPh>
    <rPh sb="19" eb="20">
      <t>オコナ</t>
    </rPh>
    <rPh sb="44" eb="46">
      <t>キノウ</t>
    </rPh>
    <rPh sb="57" eb="58">
      <t>オコナ</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</si>
  <si>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</si>
  <si>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</si>
  <si>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</si>
  <si>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 xml:space="preserve"> 初期設定では、縦軸がその種族最大のcDPS（わざを加味した、相手に与えるダメージの指標）、</t>
    <rPh sb="1" eb="3">
      <t>ショキ</t>
    </rPh>
    <rPh sb="3" eb="5">
      <t>セッテイ</t>
    </rPh>
    <rPh sb="8" eb="10">
      <t>タテジク</t>
    </rPh>
    <rPh sb="13" eb="15">
      <t>シュゾク</t>
    </rPh>
    <rPh sb="15" eb="17">
      <t>サイダイ</t>
    </rPh>
    <rPh sb="26" eb="28">
      <t>カミ</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</si>
  <si>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</si>
  <si>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</si>
  <si>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</si>
  <si>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</si>
  <si>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</si>
  <si>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</si>
  <si>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</si>
  <si>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</si>
  <si>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</si>
  <si>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はじめに、「予測PL」の列の計算式が適切か考慮のうえ、自身に適切な式に書き換えることをおすすめします。(詳細は後述)</t>
    <rPh sb="7" eb="9">
      <t>ヨソク</t>
    </rPh>
    <rPh sb="13" eb="14">
      <t>レツ</t>
    </rPh>
    <rPh sb="15" eb="18">
      <t>ケイサンシキ</t>
    </rPh>
    <rPh sb="19" eb="21">
      <t>テキセツ</t>
    </rPh>
    <rPh sb="22" eb="24">
      <t>コウリョ</t>
    </rPh>
    <rPh sb="28" eb="30">
      <t>ジシン</t>
    </rPh>
    <rPh sb="31" eb="33">
      <t>テキセツ</t>
    </rPh>
    <rPh sb="34" eb="35">
      <t>シキ</t>
    </rPh>
    <rPh sb="36" eb="37">
      <t>カ</t>
    </rPh>
    <rPh sb="38" eb="39">
      <t>カ</t>
    </rPh>
    <rPh sb="53" eb="55">
      <t>ショウサイ</t>
    </rPh>
    <rPh sb="56" eb="58">
      <t>コウジュツ</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</si>
  <si>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</si>
  <si>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</si>
  <si>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</si>
  <si>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</si>
  <si>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</si>
  <si>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</si>
  <si>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</si>
  <si>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</si>
  <si>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推測値の計算法が適切でない可能性もありますので、もし絶対に入力が正しいという場合は以降の確定PLを入力します。</t>
    <rPh sb="0" eb="3">
      <t>スイソクチ</t>
    </rPh>
    <rPh sb="4" eb="7">
      <t>ケイサンホウ</t>
    </rPh>
    <rPh sb="13" eb="16">
      <t>カノウセイ</t>
    </rPh>
    <rPh sb="26" eb="28">
      <t>ゼッタイ</t>
    </rPh>
    <rPh sb="29" eb="31">
      <t>ニュウリョク</t>
    </rPh>
    <rPh sb="32" eb="33">
      <t>タダ</t>
    </rPh>
    <rPh sb="38" eb="40">
      <t>バアイ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</si>
  <si>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</si>
  <si>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</si>
  <si>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</si>
  <si>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種族シートの、当該種族の行の指定したわざの列に、そのわざ名が追加されます。</t>
    <rPh sb="0" eb="2">
      <t>シュゾク</t>
    </rPh>
    <rPh sb="7" eb="9">
      <t>トウガイ</t>
    </rPh>
    <rPh sb="9" eb="11">
      <t>シュゾク</t>
    </rPh>
    <rPh sb="12" eb="13">
      <t>ギョウ</t>
    </rPh>
    <rPh sb="14" eb="16">
      <t>シテイ</t>
    </rPh>
    <rPh sb="21" eb="22">
      <t>レツ</t>
    </rPh>
    <rPh sb="28" eb="29">
      <t>メイ</t>
    </rPh>
    <rPh sb="30" eb="32">
      <t>ツイカ</t>
    </rPh>
    <phoneticPr fontId="3"/>
  </si>
  <si>
    <t xml:space="preserve"> 推測PLで構わない場合は空白のままにします。</t>
    <rPh sb="1" eb="3">
      <t>スイソク</t>
    </rPh>
    <rPh sb="6" eb="7">
      <t>カマ</t>
    </rPh>
    <rPh sb="10" eb="12">
      <t>バアイ</t>
    </rPh>
    <rPh sb="13" eb="15">
      <t>クウハク</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</si>
  <si>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</si>
  <si>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しかしトレーナーバトルにおける、一部ゲージわざによる能力変化については反映されません。</t>
    <rPh sb="16" eb="18">
      <t>イチブ</t>
    </rPh>
    <rPh sb="26" eb="28">
      <t>ノウリョク</t>
    </rPh>
    <rPh sb="28" eb="30">
      <t>ヘンカ</t>
    </rPh>
    <rPh sb="35" eb="37">
      <t>ハンエイ</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</si>
  <si>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</si>
  <si>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</si>
  <si>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</si>
  <si>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2項目目以降が適切かどうかはプレーヤーによりますので、自身に適切なように計算式を修正することをおすすめします。</t>
    <rPh sb="2" eb="4">
      <t>コウモク</t>
    </rPh>
    <rPh sb="4" eb="5">
      <t>メ</t>
    </rPh>
    <rPh sb="5" eb="7">
      <t>イコウ</t>
    </rPh>
    <rPh sb="8" eb="10">
      <t>テキセツ</t>
    </rPh>
    <rPh sb="28" eb="30">
      <t>ジシン</t>
    </rPh>
    <rPh sb="31" eb="33">
      <t>テキセツ</t>
    </rPh>
    <rPh sb="37" eb="40">
      <t>ケイサンシキ</t>
    </rPh>
    <rPh sb="41" eb="43">
      <t>シュウセイ</t>
    </rPh>
    <phoneticPr fontId="3"/>
  </si>
  <si>
    <t xml:space="preserve"> 目標PLのセルは、1項目目のように、個別に任意の予測PLを設定したい場合に入力する意図で設けてあります。</t>
    <rPh sb="1" eb="3">
      <t>モクヒョウ</t>
    </rPh>
    <rPh sb="11" eb="13">
      <t>コウモク</t>
    </rPh>
    <rPh sb="13" eb="14">
      <t>メ</t>
    </rPh>
    <rPh sb="19" eb="21">
      <t>コベツ</t>
    </rPh>
    <rPh sb="22" eb="24">
      <t>ニンイ</t>
    </rPh>
    <rPh sb="25" eb="27">
      <t>ヨソク</t>
    </rPh>
    <rPh sb="30" eb="32">
      <t>セッテイ</t>
    </rPh>
    <rPh sb="35" eb="37">
      <t>バアイ</t>
    </rPh>
    <rPh sb="38" eb="40">
      <t>ニュウリョク</t>
    </rPh>
    <rPh sb="42" eb="44">
      <t>イト</t>
    </rPh>
    <rPh sb="45" eb="46">
      <t>モウ</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</si>
  <si>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</si>
  <si>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</si>
  <si>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</si>
  <si>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</si>
  <si>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</si>
  <si>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これらもマクロで計算していますので、入力が反映されていないと思ったら、管理シートの「個体シートの再計算」ボタンをクリックして再計算させてください。</t>
    <rPh sb="9" eb="11">
      <t>ケイサン</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</si>
  <si>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</si>
  <si>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</si>
  <si>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よって上にある個体ほど強いといえますが、トレーナーバトルでの強さではありません。</t>
    <rPh sb="3" eb="4">
      <t>ウエ</t>
    </rPh>
    <rPh sb="7" eb="9">
      <t>コタイ</t>
    </rPh>
    <rPh sb="11" eb="12">
      <t>ツヨ</t>
    </rPh>
    <rPh sb="30" eb="31">
      <t>ツヨ</t>
    </rPh>
    <phoneticPr fontId="3"/>
  </si>
  <si>
    <t xml:space="preserve"> 矢印の先の予測値が、より上方或いは右方にある個体が、強化の候補といえます。</t>
    <rPh sb="1" eb="3">
      <t>ヤジルシ</t>
    </rPh>
    <rPh sb="4" eb="5">
      <t>サキ</t>
    </rPh>
    <rPh sb="6" eb="8">
      <t>ヨソク</t>
    </rPh>
    <rPh sb="8" eb="9">
      <t>チ</t>
    </rPh>
    <rPh sb="13" eb="15">
      <t>ジョウホウ</t>
    </rPh>
    <rPh sb="15" eb="16">
      <t>アル</t>
    </rPh>
    <rPh sb="18" eb="20">
      <t>ウホウ</t>
    </rPh>
    <rPh sb="23" eb="25">
      <t>コタイ</t>
    </rPh>
    <rPh sb="27" eb="29">
      <t>キョウカ</t>
    </rPh>
    <rPh sb="30" eb="32">
      <t>コウホ</t>
    </rPh>
    <phoneticPr fontId="3"/>
  </si>
  <si>
    <t xml:space="preserve"> 個体シートの更新後は、参照するときに、「マップを再作成する」ボタンを押してマップを作成し直す必要があります。</t>
    <rPh sb="1" eb="3">
      <t>コタイ</t>
    </rPh>
    <rPh sb="7" eb="9">
      <t>コウシン</t>
    </rPh>
    <rPh sb="9" eb="10">
      <t>ゴ</t>
    </rPh>
    <rPh sb="12" eb="14">
      <t>サンショウ</t>
    </rPh>
    <rPh sb="25" eb="28">
      <t>サイサクセイ</t>
    </rPh>
    <rPh sb="35" eb="36">
      <t>オ</t>
    </rPh>
    <rPh sb="42" eb="44">
      <t>サクセイ</t>
    </rPh>
    <rPh sb="45" eb="46">
      <t>ナオ</t>
    </rPh>
    <rPh sb="47" eb="49">
      <t>ヒツヨウ</t>
    </rPh>
    <phoneticPr fontId="3"/>
  </si>
  <si>
    <t>図の元となる表と、散布図を再作成します。また作成前には個体シートの再計算をします。</t>
    <rPh sb="0" eb="1">
      <t>ズ</t>
    </rPh>
    <rPh sb="2" eb="3">
      <t>モト</t>
    </rPh>
    <rPh sb="6" eb="7">
      <t>ヒョウ</t>
    </rPh>
    <rPh sb="9" eb="11">
      <t>サンプ</t>
    </rPh>
    <rPh sb="11" eb="12">
      <t>ズ</t>
    </rPh>
    <rPh sb="13" eb="14">
      <t>サイ</t>
    </rPh>
    <rPh sb="14" eb="16">
      <t>サクセイ</t>
    </rPh>
    <rPh sb="22" eb="24">
      <t>サクセイ</t>
    </rPh>
    <rPh sb="24" eb="25">
      <t>マエ</t>
    </rPh>
    <rPh sb="27" eb="29">
      <t>コタイ</t>
    </rPh>
    <rPh sb="33" eb="36">
      <t>サイケイサン</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</si>
  <si>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</si>
  <si>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 xml:space="preserve"> 最初に任意の相手が浮かばない場合は、ときに「すべてダミーに設定」ボタンをクリックすると、</t>
    <rPh sb="1" eb="3">
      <t>サイショ</t>
    </rPh>
    <rPh sb="4" eb="6">
      <t>ニンイ</t>
    </rPh>
    <rPh sb="7" eb="9">
      <t>アイテ</t>
    </rPh>
    <rPh sb="10" eb="11">
      <t>ウ</t>
    </rPh>
    <rPh sb="15" eb="17">
      <t>バアイ</t>
    </rPh>
    <rPh sb="30" eb="32">
      <t>セッテイ</t>
    </rPh>
    <phoneticPr fontId="3"/>
  </si>
  <si>
    <t xml:space="preserve"> 天候によるランキングの差異や、強化後予測の個体でのランキングも表示します。</t>
    <rPh sb="1" eb="3">
      <t>テンコウ</t>
    </rPh>
    <rPh sb="12" eb="14">
      <t>サイ</t>
    </rPh>
    <rPh sb="16" eb="18">
      <t>キョウカ</t>
    </rPh>
    <rPh sb="18" eb="19">
      <t>ゴ</t>
    </rPh>
    <rPh sb="19" eb="21">
      <t>ヨソク</t>
    </rPh>
    <rPh sb="22" eb="24">
      <t>コタイ</t>
    </rPh>
    <rPh sb="32" eb="34">
      <t>ヒョウジ</t>
    </rPh>
    <phoneticPr fontId="3"/>
  </si>
  <si>
    <t xml:space="preserve"> 使い始めのときは、表の先頭の３行目から」書き込みます。(「?」を上書きします。)</t>
    <rPh sb="16" eb="18">
      <t>ギョウメ</t>
    </rPh>
    <rPh sb="21" eb="22">
      <t>カ</t>
    </rPh>
    <rPh sb="23" eb="24">
      <t>コ</t>
    </rPh>
    <rPh sb="33" eb="35">
      <t>ウワガ</t>
    </rPh>
    <phoneticPr fontId="3"/>
  </si>
  <si>
    <t xml:space="preserve"> 適切な種族名が入力されると、通常わざからHPまでのセルと、CPの上下限のセルに、デフォルトの値が書かれます。</t>
    <rPh sb="1" eb="3">
      <t>テキセツ</t>
    </rPh>
    <rPh sb="4" eb="7">
      <t>シュゾクメイ</t>
    </rPh>
    <rPh sb="8" eb="10">
      <t>ニュウリョク</t>
    </rPh>
    <rPh sb="15" eb="17">
      <t>ツウジョウ</t>
    </rPh>
    <rPh sb="33" eb="35">
      <t>ジョウカ</t>
    </rPh>
    <rPh sb="35" eb="36">
      <t>ゲン</t>
    </rPh>
    <rPh sb="47" eb="48">
      <t>アタイ</t>
    </rPh>
    <rPh sb="49" eb="50">
      <t>カ</t>
    </rPh>
    <phoneticPr fontId="3"/>
  </si>
  <si>
    <t xml:space="preserve"> 空白にすることも可能です。この場合、限定わざを除いた全ての通常わざ・ゲージわざの組み合わせでシミュレーションを行い、</t>
    <rPh sb="1" eb="3">
      <t>クウハク</t>
    </rPh>
    <rPh sb="9" eb="11">
      <t>カノウ</t>
    </rPh>
    <rPh sb="16" eb="18">
      <t>バアイ</t>
    </rPh>
    <rPh sb="19" eb="21">
      <t>ゲンテイ</t>
    </rPh>
    <rPh sb="24" eb="25">
      <t>ノゾ</t>
    </rPh>
    <rPh sb="27" eb="28">
      <t>スベ</t>
    </rPh>
    <rPh sb="30" eb="32">
      <t>ツウジョウ</t>
    </rPh>
    <rPh sb="41" eb="42">
      <t>ク</t>
    </rPh>
    <rPh sb="43" eb="44">
      <t>ア</t>
    </rPh>
    <rPh sb="56" eb="57">
      <t>オコナ</t>
    </rPh>
    <phoneticPr fontId="3"/>
  </si>
  <si>
    <t>KT・KTR・scDPS等の平均値を求めてランク付けします。計算時間もその分かかります。</t>
    <rPh sb="18" eb="19">
      <t>モト</t>
    </rPh>
    <rPh sb="24" eb="25">
      <t>ヅ</t>
    </rPh>
    <phoneticPr fontId="3"/>
  </si>
  <si>
    <t xml:space="preserve"> HPに入力すると、合わせてCP・個体HPが変化します。</t>
    <rPh sb="4" eb="6">
      <t>ニュウリョク</t>
    </rPh>
    <rPh sb="10" eb="11">
      <t>ア</t>
    </rPh>
    <rPh sb="17" eb="19">
      <t>コタイ</t>
    </rPh>
    <rPh sb="22" eb="24">
      <t>ヘンカ</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</si>
  <si>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</si>
  <si>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</si>
  <si>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このときのダミーの相手のパラメータは、最大値シートの「ダミーの敵のパラメータ」に書かれたものです。(ちょっと強め。わざは平均的)</t>
    <rPh sb="10" eb="12">
      <t>アイテ</t>
    </rPh>
    <rPh sb="20" eb="23">
      <t>サイダイチ</t>
    </rPh>
    <rPh sb="41" eb="42">
      <t>カ</t>
    </rPh>
    <rPh sb="55" eb="56">
      <t>ツヨ</t>
    </rPh>
    <rPh sb="61" eb="64">
      <t>ヘイキンテキ</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</si>
  <si>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</si>
  <si>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</si>
  <si>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右の「すべて」にチェックをした状態では、すでに計算した相手も含め、シートの全ての相手に対して計算を行います。</t>
    <rPh sb="1" eb="2">
      <t>ミギ</t>
    </rPh>
    <rPh sb="16" eb="18">
      <t>ジョウタイ</t>
    </rPh>
    <rPh sb="24" eb="26">
      <t>ケイサン</t>
    </rPh>
    <rPh sb="28" eb="30">
      <t>アイテ</t>
    </rPh>
    <rPh sb="31" eb="32">
      <t>フク</t>
    </rPh>
    <rPh sb="38" eb="39">
      <t>スベ</t>
    </rPh>
    <rPh sb="41" eb="43">
      <t>アイテ</t>
    </rPh>
    <rPh sb="44" eb="45">
      <t>タイ</t>
    </rPh>
    <rPh sb="47" eb="49">
      <t>ケイサン</t>
    </rPh>
    <rPh sb="50" eb="51">
      <t>オコナ</t>
    </rPh>
    <phoneticPr fontId="3"/>
  </si>
  <si>
    <t xml:space="preserve"> それぞれの天候が書かれた行にて、ニックネームに表示された個体はランクインする個体です。</t>
    <rPh sb="6" eb="8">
      <t>テンコウ</t>
    </rPh>
    <rPh sb="9" eb="10">
      <t>カ</t>
    </rPh>
    <rPh sb="13" eb="14">
      <t>ギョウ</t>
    </rPh>
    <rPh sb="24" eb="26">
      <t>ヒョウジ</t>
    </rPh>
    <rPh sb="29" eb="31">
      <t>コタイ</t>
    </rPh>
    <rPh sb="39" eb="41">
      <t>コタイ</t>
    </rPh>
    <phoneticPr fontId="3"/>
  </si>
  <si>
    <t>ランク落ちに書かれた個体はランクから外れます。</t>
    <phoneticPr fontId="3"/>
  </si>
  <si>
    <t xml:space="preserve"> 天候未設定にランクインし、その天候でランクアウトしなかった個体の具体的な順位は、表示されません。</t>
    <rPh sb="1" eb="3">
      <t>テンコウ</t>
    </rPh>
    <rPh sb="3" eb="6">
      <t>ミセッテイ</t>
    </rPh>
    <rPh sb="16" eb="18">
      <t>テンコウ</t>
    </rPh>
    <rPh sb="30" eb="32">
      <t>コタイ</t>
    </rPh>
    <rPh sb="33" eb="36">
      <t>グタイテキ</t>
    </rPh>
    <rPh sb="37" eb="39">
      <t>ジュンイ</t>
    </rPh>
    <rPh sb="41" eb="43">
      <t>ヒョウジ</t>
    </rPh>
    <phoneticPr fontId="3"/>
  </si>
  <si>
    <t xml:space="preserve"> 現在値のランキングには現れず、これらの予測ランキングにて現れた個体のニックネームは、赤い文字で表示されます。</t>
    <rPh sb="1" eb="4">
      <t>ゲンザイチ</t>
    </rPh>
    <rPh sb="12" eb="13">
      <t>アラワ</t>
    </rPh>
    <rPh sb="20" eb="22">
      <t>ヨソク</t>
    </rPh>
    <rPh sb="29" eb="30">
      <t>アラワ</t>
    </rPh>
    <rPh sb="32" eb="34">
      <t>コタイ</t>
    </rPh>
    <rPh sb="43" eb="44">
      <t>アカ</t>
    </rPh>
    <rPh sb="45" eb="47">
      <t>モジ</t>
    </rPh>
    <rPh sb="48" eb="50">
      <t>ヒョウジ</t>
    </rPh>
    <phoneticPr fontId="3"/>
  </si>
  <si>
    <t>これらの赤い文字の個体は、強化の候補になるかもしれません。</t>
    <rPh sb="4" eb="5">
      <t>アカ</t>
    </rPh>
    <rPh sb="6" eb="8">
      <t>モジ</t>
    </rPh>
    <rPh sb="9" eb="11">
      <t>コタイ</t>
    </rPh>
    <rPh sb="13" eb="15">
      <t>キョウカ</t>
    </rPh>
    <rPh sb="16" eb="18">
      <t>コウホ</t>
    </rPh>
    <phoneticPr fontId="3"/>
  </si>
  <si>
    <t>選択されているセルのある領域の相手について、ランキングを計算します。</t>
    <rPh sb="0" eb="2">
      <t>センタク</t>
    </rPh>
    <rPh sb="12" eb="14">
      <t>リョウイキ</t>
    </rPh>
    <rPh sb="15" eb="17">
      <t>アイテ</t>
    </rPh>
    <rPh sb="28" eb="30">
      <t>ケイサン</t>
    </rPh>
    <phoneticPr fontId="3"/>
  </si>
  <si>
    <t>「すべて」にチェックがなされている場合は、全ての相手について行います。</t>
    <phoneticPr fontId="3"/>
  </si>
  <si>
    <t>選択されているセルのある領域のランキングをクリアし、相手の設定のみにします。</t>
    <rPh sb="0" eb="2">
      <t>センタク</t>
    </rPh>
    <rPh sb="12" eb="14">
      <t>リョウイキ</t>
    </rPh>
    <rPh sb="26" eb="28">
      <t>アイテ</t>
    </rPh>
    <rPh sb="29" eb="31">
      <t>セッテイ</t>
    </rPh>
    <phoneticPr fontId="3"/>
  </si>
  <si>
    <t>「すべて」にチェックがなされている場合は、全てのランキングをクリアします。</t>
    <phoneticPr fontId="3"/>
  </si>
  <si>
    <t>選択されているセルのある領域のランキング(或いは相手の設定)を削除します。</t>
    <rPh sb="0" eb="2">
      <t>センタク</t>
    </rPh>
    <rPh sb="12" eb="14">
      <t>リョウイキ</t>
    </rPh>
    <rPh sb="21" eb="22">
      <t>アル</t>
    </rPh>
    <rPh sb="24" eb="26">
      <t>アイテ</t>
    </rPh>
    <rPh sb="27" eb="29">
      <t>セッテイ</t>
    </rPh>
    <rPh sb="31" eb="33">
      <t>サクジョ</t>
    </rPh>
    <phoneticPr fontId="3"/>
  </si>
  <si>
    <t>「すべて」にチェックがなされている場合、全ての設定・ランキングを削除します。</t>
    <phoneticPr fontId="3"/>
  </si>
  <si>
    <t>相手の最初の攻撃は、この遅延時間（秒）後に発生します。またその後の攻撃の際には、わざの発生時間+遅延時間の遅延が発生します。</t>
    <rPh sb="0" eb="2">
      <t>アイテ</t>
    </rPh>
    <rPh sb="3" eb="5">
      <t>サイショ</t>
    </rPh>
    <rPh sb="6" eb="8">
      <t>コウゲキ</t>
    </rPh>
    <rPh sb="12" eb="16">
      <t>チエンジカン</t>
    </rPh>
    <rPh sb="17" eb="18">
      <t>ビョウ</t>
    </rPh>
    <rPh sb="19" eb="20">
      <t>ゴ</t>
    </rPh>
    <rPh sb="21" eb="23">
      <t>ハッセイ</t>
    </rPh>
    <rPh sb="31" eb="32">
      <t>アト</t>
    </rPh>
    <rPh sb="33" eb="35">
      <t>コウゲキ</t>
    </rPh>
    <rPh sb="36" eb="37">
      <t>サイ</t>
    </rPh>
    <rPh sb="43" eb="45">
      <t>ハッセイ</t>
    </rPh>
    <rPh sb="45" eb="47">
      <t>ジカン</t>
    </rPh>
    <rPh sb="48" eb="52">
      <t>チエンジカン</t>
    </rPh>
    <rPh sb="53" eb="55">
      <t>チエン</t>
    </rPh>
    <rPh sb="56" eb="58">
      <t>ハッセイ</t>
    </rPh>
    <phoneticPr fontId="3"/>
  </si>
  <si>
    <t xml:space="preserve"> トレーナーバトルにわざの天候ブーストはありませんので、天候設定のランキングはありません。</t>
    <rPh sb="13" eb="15">
      <t>テンコウ</t>
    </rPh>
    <rPh sb="28" eb="30">
      <t>テンコウ</t>
    </rPh>
    <rPh sb="30" eb="32">
      <t>セッテイ</t>
    </rPh>
    <phoneticPr fontId="3"/>
  </si>
  <si>
    <t xml:space="preserve"> ランキングに用いるパラメータの初期値はKTRとしています。</t>
    <rPh sb="7" eb="8">
      <t>モチ</t>
    </rPh>
    <rPh sb="16" eb="19">
      <t>ショキチ</t>
    </rPh>
    <phoneticPr fontId="3"/>
  </si>
  <si>
    <t xml:space="preserve"> 利用の仕方はジムシートと同様です。</t>
    <rPh sb="1" eb="3">
      <t>リヨウ</t>
    </rPh>
    <rPh sb="4" eb="6">
      <t>シカタ</t>
    </rPh>
    <rPh sb="13" eb="15">
      <t>ドウヨウ</t>
    </rPh>
    <phoneticPr fontId="3"/>
  </si>
  <si>
    <t xml:space="preserve"> その他の設定についてはジムシートと同様です。</t>
    <rPh sb="3" eb="4">
      <t>ホカ</t>
    </rPh>
    <rPh sb="5" eb="7">
      <t>セッテイ</t>
    </rPh>
    <rPh sb="18" eb="20">
      <t>ドウヨウ</t>
    </rPh>
    <phoneticPr fontId="3"/>
  </si>
  <si>
    <t>ロケット団の表のデータは古い可能性がありますので、対戦シートでロケット団を追加する場合は確認・修正を行ってください。</t>
    <rPh sb="4" eb="5">
      <t>ダン</t>
    </rPh>
    <rPh sb="6" eb="7">
      <t>ヒョウ</t>
    </rPh>
    <rPh sb="12" eb="13">
      <t>フル</t>
    </rPh>
    <rPh sb="14" eb="17">
      <t>カノウセイ</t>
    </rPh>
    <rPh sb="25" eb="27">
      <t>タイセン</t>
    </rPh>
    <rPh sb="35" eb="36">
      <t>ダン</t>
    </rPh>
    <rPh sb="37" eb="39">
      <t>ツイカ</t>
    </rPh>
    <rPh sb="41" eb="43">
      <t>バアイ</t>
    </rPh>
    <rPh sb="44" eb="46">
      <t>カクニン</t>
    </rPh>
    <rPh sb="47" eb="49">
      <t>シュウセイ</t>
    </rPh>
    <rPh sb="50" eb="51">
      <t>オコナ</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</si>
  <si>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</si>
  <si>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</si>
  <si>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</si>
  <si>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</si>
  <si>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</si>
  <si>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</si>
  <si>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</si>
  <si>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</si>
  <si>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</si>
  <si>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</si>
  <si>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</si>
  <si>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</si>
  <si>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</si>
  <si>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</si>
  <si>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</si>
  <si>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</si>
  <si>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</si>
  <si>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</si>
  <si>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</si>
  <si>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</si>
  <si>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</si>
  <si>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</si>
  <si>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</si>
  <si>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</si>
  <si>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</si>
  <si>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floor()は、小数点以下切捨てを表す。</t>
    <rPh sb="10" eb="13">
      <t>ショウスウテン</t>
    </rPh>
    <rPh sb="13" eb="15">
      <t>イカ</t>
    </rPh>
    <rPh sb="15" eb="17">
      <t>キリス</t>
    </rPh>
    <rPh sb="19" eb="20">
      <t>アラワ</t>
    </rPh>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</si>
  <si>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</si>
  <si>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</si>
  <si>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</si>
  <si>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</si>
  <si>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</si>
  <si>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</si>
  <si>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</si>
  <si>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</si>
  <si>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</si>
  <si>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</si>
  <si>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ジムにおける防御側（相手）の攻撃は、最初は遅延時間（初期設定2秒）後に発動され、その後は発動時間＋遅延時間をおいて発動されます。</t>
    <rPh sb="7" eb="9">
      <t>ボウギョ</t>
    </rPh>
    <rPh sb="9" eb="10">
      <t>ガワ</t>
    </rPh>
    <rPh sb="11" eb="13">
      <t>アイテ</t>
    </rPh>
    <rPh sb="15" eb="17">
      <t>コウゲキ</t>
    </rPh>
    <rPh sb="19" eb="21">
      <t>サイショ</t>
    </rPh>
    <rPh sb="22" eb="24">
      <t>チエン</t>
    </rPh>
    <rPh sb="24" eb="26">
      <t>ジカン</t>
    </rPh>
    <rPh sb="27" eb="29">
      <t>ショキ</t>
    </rPh>
    <rPh sb="29" eb="31">
      <t>セッテイ</t>
    </rPh>
    <rPh sb="32" eb="33">
      <t>ビョウ</t>
    </rPh>
    <rPh sb="34" eb="35">
      <t>ゴ</t>
    </rPh>
    <rPh sb="36" eb="38">
      <t>ハツドウ</t>
    </rPh>
    <rPh sb="43" eb="44">
      <t>ゴ</t>
    </rPh>
    <rPh sb="45" eb="47">
      <t>ハツドウ</t>
    </rPh>
    <rPh sb="47" eb="49">
      <t>ジカン</t>
    </rPh>
    <rPh sb="50" eb="52">
      <t>チエン</t>
    </rPh>
    <rPh sb="52" eb="54">
      <t>ジカン</t>
    </rPh>
    <rPh sb="58" eb="60">
      <t>ハツドウ</t>
    </rPh>
    <phoneticPr fontId="3"/>
  </si>
  <si>
    <t xml:space="preserve"> その他における攻撃の間隔は、わざの発動時間のみで遅滞はありません。また必要なチャージ量が貯まれば、即ゲージわざを発動します。</t>
    <rPh sb="3" eb="4">
      <t>タ</t>
    </rPh>
    <rPh sb="8" eb="10">
      <t>コウゲキ</t>
    </rPh>
    <rPh sb="11" eb="13">
      <t>カンカク</t>
    </rPh>
    <rPh sb="18" eb="19">
      <t>ハツ</t>
    </rPh>
    <rPh sb="19" eb="20">
      <t>ドウ</t>
    </rPh>
    <rPh sb="20" eb="22">
      <t>ジカン</t>
    </rPh>
    <rPh sb="25" eb="27">
      <t>チタイ</t>
    </rPh>
    <rPh sb="36" eb="38">
      <t>ヒツヨウ</t>
    </rPh>
    <rPh sb="43" eb="44">
      <t>リョウ</t>
    </rPh>
    <rPh sb="45" eb="46">
      <t>タ</t>
    </rPh>
    <rPh sb="50" eb="51">
      <t>ソク</t>
    </rPh>
    <rPh sb="57" eb="59">
      <t>ハツドウ</t>
    </rPh>
    <phoneticPr fontId="3"/>
  </si>
  <si>
    <t xml:space="preserve"> ジムにおけるゲージ数1のゲージわざについては、発動後にゲージは0になります。その他は発動後、ゲージにあまりが残ります。</t>
    <rPh sb="10" eb="11">
      <t>スウ</t>
    </rPh>
    <rPh sb="24" eb="26">
      <t>ハツドウ</t>
    </rPh>
    <rPh sb="26" eb="27">
      <t>ゴ</t>
    </rPh>
    <rPh sb="41" eb="42">
      <t>ホカ</t>
    </rPh>
    <rPh sb="43" eb="45">
      <t>ハツドウ</t>
    </rPh>
    <rPh sb="45" eb="46">
      <t>ゴ</t>
    </rPh>
    <rPh sb="55" eb="56">
      <t>ノコ</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</si>
  <si>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</si>
  <si>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</si>
  <si>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</si>
  <si>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</si>
  <si>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</si>
  <si>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</si>
  <si>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</si>
  <si>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</si>
  <si>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</si>
  <si>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</si>
  <si>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</si>
  <si>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それらの分析したいポケモンについては、識別可能なニックネームを付けていることが望まれます。</t>
    <rPh sb="4" eb="6">
      <t>ブンセキ</t>
    </rPh>
    <rPh sb="19" eb="21">
      <t>シキベツ</t>
    </rPh>
    <rPh sb="21" eb="23">
      <t>カノウ</t>
    </rPh>
    <rPh sb="31" eb="32">
      <t>ツ</t>
    </rPh>
    <rPh sb="39" eb="40">
      <t>ノゾ</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</si>
  <si>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</si>
  <si>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</si>
  <si>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</si>
  <si>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r>
      <t>ゲージわざ</t>
    </r>
    <r>
      <rPr>
        <sz val="10"/>
        <color rgb="FFFEF762"/>
        <rFont val="メイリオ"/>
        <family val="2"/>
        <charset val="128"/>
        <scheme val="minor"/>
      </rPr>
      <t>_gsCdps5</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</si>
  <si>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</si>
  <si>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</si>
  <si>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順位</t>
    </r>
    <r>
      <rPr>
        <sz val="10"/>
        <color rgb="FFB9FFD9"/>
        <rFont val="メイリオ"/>
        <family val="3"/>
        <charset val="128"/>
        <scheme val="minor"/>
      </rPr>
      <t>_b</t>
    </r>
    <rPh sb="0" eb="2">
      <t>ジュンイ</t>
    </rPh>
    <phoneticPr fontId="3"/>
  </si>
  <si>
    <r>
      <t>通常わざ</t>
    </r>
    <r>
      <rPr>
        <sz val="10"/>
        <color rgb="FFB9FFD9"/>
        <rFont val="メイリオ"/>
        <family val="3"/>
        <charset val="128"/>
        <scheme val="minor"/>
      </rPr>
      <t>_bn</t>
    </r>
    <rPh sb="0" eb="2">
      <t>ツウジョウ2</t>
    </rPh>
    <phoneticPr fontId="3"/>
  </si>
  <si>
    <r>
      <t>天候</t>
    </r>
    <r>
      <rPr>
        <sz val="10"/>
        <color rgb="FFC6FFB9"/>
        <rFont val="メイリオ"/>
        <family val="3"/>
        <charset val="128"/>
        <scheme val="minor"/>
      </rPr>
      <t>_w</t>
    </r>
    <rPh sb="0" eb="2">
      <t>テンコウ</t>
    </rPh>
    <phoneticPr fontId="3"/>
  </si>
  <si>
    <r>
      <t>順位</t>
    </r>
    <r>
      <rPr>
        <sz val="10"/>
        <color rgb="FFC6FFB9"/>
        <rFont val="メイリオ"/>
        <family val="3"/>
        <charset val="128"/>
        <scheme val="minor"/>
      </rPr>
      <t>_w</t>
    </r>
    <rPh sb="0" eb="2">
      <t>ジュンイ</t>
    </rPh>
    <phoneticPr fontId="3"/>
  </si>
  <si>
    <r>
      <t>通常わざ</t>
    </r>
    <r>
      <rPr>
        <sz val="10"/>
        <color rgb="FFC6FFB9"/>
        <rFont val="メイリオ"/>
        <family val="3"/>
        <charset val="128"/>
        <scheme val="minor"/>
      </rPr>
      <t>_w</t>
    </r>
    <rPh sb="0" eb="2">
      <t>ツウジョウ7</t>
    </rPh>
    <phoneticPr fontId="3"/>
  </si>
  <si>
    <r>
      <t>ランク落ち</t>
    </r>
    <r>
      <rPr>
        <sz val="10"/>
        <color rgb="FFC6FFB9"/>
        <rFont val="メイリオ"/>
        <family val="3"/>
        <charset val="128"/>
        <scheme val="minor"/>
      </rPr>
      <t>_w</t>
    </r>
    <rPh sb="3" eb="4">
      <t>オ</t>
    </rPh>
    <phoneticPr fontId="3"/>
  </si>
  <si>
    <r>
      <t>順位</t>
    </r>
    <r>
      <rPr>
        <sz val="10"/>
        <color rgb="FFD0FFE6"/>
        <rFont val="メイリオ"/>
        <family val="3"/>
        <charset val="128"/>
        <scheme val="minor"/>
      </rPr>
      <t>_pb</t>
    </r>
    <rPh sb="0" eb="2">
      <t>ジュンイ</t>
    </rPh>
    <phoneticPr fontId="3"/>
  </si>
  <si>
    <r>
      <t>通常わざ</t>
    </r>
    <r>
      <rPr>
        <sz val="10"/>
        <color rgb="FFD0FFE6"/>
        <rFont val="メイリオ"/>
        <family val="3"/>
        <charset val="128"/>
        <scheme val="minor"/>
      </rPr>
      <t>_pb</t>
    </r>
    <rPh sb="0" eb="2">
      <t>ツウジョウ</t>
    </rPh>
    <phoneticPr fontId="3"/>
  </si>
  <si>
    <r>
      <t>天候</t>
    </r>
    <r>
      <rPr>
        <sz val="10"/>
        <color rgb="FFE1FFD1"/>
        <rFont val="メイリオ"/>
        <family val="3"/>
        <charset val="128"/>
        <scheme val="minor"/>
      </rPr>
      <t>_pw</t>
    </r>
    <rPh sb="0" eb="2">
      <t>テンコウ</t>
    </rPh>
    <phoneticPr fontId="3"/>
  </si>
  <si>
    <r>
      <t>順位</t>
    </r>
    <r>
      <rPr>
        <sz val="10"/>
        <color rgb="FFE1FFD1"/>
        <rFont val="メイリオ"/>
        <family val="3"/>
        <charset val="128"/>
        <scheme val="minor"/>
      </rPr>
      <t>_pw</t>
    </r>
    <rPh sb="0" eb="2">
      <t>ジュンイ2</t>
    </rPh>
    <phoneticPr fontId="3"/>
  </si>
  <si>
    <r>
      <t>通常わざ</t>
    </r>
    <r>
      <rPr>
        <sz val="10"/>
        <color rgb="FFE1FFD1"/>
        <rFont val="メイリオ"/>
        <family val="3"/>
        <charset val="128"/>
        <scheme val="minor"/>
      </rPr>
      <t>_pw</t>
    </r>
    <rPh sb="0" eb="2">
      <t>ツウジョウ2</t>
    </rPh>
    <phoneticPr fontId="3"/>
  </si>
  <si>
    <r>
      <t>PL</t>
    </r>
    <r>
      <rPr>
        <sz val="10"/>
        <color rgb="FFFFFFFF"/>
        <rFont val="メイリオ"/>
        <family val="3"/>
        <charset val="128"/>
        <scheme val="minor"/>
      </rPr>
      <t>_pr</t>
    </r>
    <phoneticPr fontId="3"/>
  </si>
  <si>
    <t>カウント下限</t>
    <rPh sb="4" eb="6">
      <t>カゲン</t>
    </rPh>
    <phoneticPr fontId="3"/>
  </si>
  <si>
    <t>ジム・現在</t>
    <rPh sb="3" eb="5">
      <t>ゲンザイ</t>
    </rPh>
    <phoneticPr fontId="3"/>
  </si>
  <si>
    <t>ジム・予測</t>
    <rPh sb="3" eb="5">
      <t>ヨソク</t>
    </rPh>
    <phoneticPr fontId="3"/>
  </si>
  <si>
    <t>対戦・現在</t>
    <rPh sb="0" eb="2">
      <t>タイセン</t>
    </rPh>
    <rPh sb="3" eb="5">
      <t>ゲンザイ</t>
    </rPh>
    <phoneticPr fontId="3"/>
  </si>
  <si>
    <t>対戦・予測</t>
    <rPh sb="0" eb="2">
      <t>タイセン</t>
    </rPh>
    <rPh sb="3" eb="5">
      <t>ヨソク</t>
    </rPh>
    <phoneticPr fontId="3"/>
  </si>
  <si>
    <t>対戦・予測</t>
    <rPh sb="0" eb="2">
      <t>タイセン</t>
    </rPh>
    <rPh sb="3" eb="5">
      <t>ヨソク</t>
    </rPh>
    <phoneticPr fontId="3"/>
  </si>
  <si>
    <t>ジム・予測</t>
    <rPh sb="3" eb="5">
      <t>ヨソク</t>
    </rPh>
    <phoneticPr fontId="3"/>
  </si>
  <si>
    <t>ジム・現在</t>
    <rPh sb="3" eb="5">
      <t>ゲンザイ</t>
    </rPh>
    <phoneticPr fontId="3"/>
  </si>
  <si>
    <t>対戦・現在</t>
    <rPh sb="0" eb="2">
      <t>タイセン</t>
    </rPh>
    <rPh sb="3" eb="5">
      <t>ゲンザイ</t>
    </rPh>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</si>
  <si>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</si>
  <si>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</si>
  <si>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以降全てを更新ボタン</t>
    <rPh sb="0" eb="2">
      <t>イコウ</t>
    </rPh>
    <rPh sb="2" eb="3">
      <t>スベ</t>
    </rPh>
    <rPh sb="5" eb="7">
      <t>コウシン</t>
    </rPh>
    <phoneticPr fontId="3"/>
  </si>
  <si>
    <t>個体マップの再作成、ジム・対戦シートの全再計算、期待個体シートの作成を一貫して実行します。</t>
    <rPh sb="0" eb="2">
      <t>コタイ</t>
    </rPh>
    <rPh sb="6" eb="9">
      <t>サイサクセイ</t>
    </rPh>
    <rPh sb="13" eb="15">
      <t>タイセン</t>
    </rPh>
    <rPh sb="19" eb="20">
      <t>スベ</t>
    </rPh>
    <rPh sb="20" eb="23">
      <t>サイケイサン</t>
    </rPh>
    <rPh sb="24" eb="26">
      <t>キタイ</t>
    </rPh>
    <rPh sb="26" eb="28">
      <t>コタイ</t>
    </rPh>
    <rPh sb="32" eb="34">
      <t>サクセイ</t>
    </rPh>
    <rPh sb="35" eb="37">
      <t>イッカン</t>
    </rPh>
    <rPh sb="39" eb="41">
      <t>ジッコウ</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</si>
  <si>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</si>
  <si>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</si>
  <si>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ジム・対戦シートのランキングに登場した個体を集計し、登場回数が多い順にソートして表示します。</t>
    <rPh sb="3" eb="5">
      <t>タイセン</t>
    </rPh>
    <rPh sb="15" eb="17">
      <t>トウジョウ</t>
    </rPh>
    <rPh sb="19" eb="21">
      <t>コタイ</t>
    </rPh>
    <rPh sb="22" eb="24">
      <t>シュウケイ</t>
    </rPh>
    <rPh sb="26" eb="28">
      <t>トウジョウ</t>
    </rPh>
    <rPh sb="28" eb="30">
      <t>カイスウ</t>
    </rPh>
    <rPh sb="31" eb="32">
      <t>オオ</t>
    </rPh>
    <rPh sb="33" eb="34">
      <t>ジュン</t>
    </rPh>
    <rPh sb="40" eb="42">
      <t>ヒョウジ</t>
    </rPh>
    <phoneticPr fontId="3"/>
  </si>
  <si>
    <t>現在の表においては、規定の順位（初期値3）以内の個体全てをカウントします。</t>
    <rPh sb="0" eb="2">
      <t>ゲンザイ</t>
    </rPh>
    <rPh sb="3" eb="4">
      <t>ヒョウ</t>
    </rPh>
    <rPh sb="10" eb="12">
      <t>キテイ</t>
    </rPh>
    <rPh sb="13" eb="15">
      <t>ジュンイ</t>
    </rPh>
    <rPh sb="16" eb="19">
      <t>ショキチ</t>
    </rPh>
    <rPh sb="21" eb="23">
      <t>イナイ</t>
    </rPh>
    <rPh sb="24" eb="26">
      <t>コタイ</t>
    </rPh>
    <rPh sb="26" eb="27">
      <t>スベ</t>
    </rPh>
    <phoneticPr fontId="3"/>
  </si>
  <si>
    <t>予測の表においては、規定の順位（初期値3）以内の個体で、現在のランキングに現れていない赤字の個体のみをカウントします。</t>
    <rPh sb="0" eb="2">
      <t>ヨソク</t>
    </rPh>
    <rPh sb="3" eb="4">
      <t>ヒョウ</t>
    </rPh>
    <rPh sb="10" eb="12">
      <t>キテイ</t>
    </rPh>
    <rPh sb="13" eb="15">
      <t>ジュンイ</t>
    </rPh>
    <rPh sb="16" eb="19">
      <t>ショキチ</t>
    </rPh>
    <rPh sb="21" eb="23">
      <t>イナイ</t>
    </rPh>
    <rPh sb="24" eb="26">
      <t>コタイ</t>
    </rPh>
    <rPh sb="28" eb="30">
      <t>ゲンザイ</t>
    </rPh>
    <rPh sb="37" eb="38">
      <t>アラワ</t>
    </rPh>
    <rPh sb="43" eb="45">
      <t>アカジ</t>
    </rPh>
    <rPh sb="46" eb="48">
      <t>コタイ</t>
    </rPh>
    <phoneticPr fontId="3"/>
  </si>
  <si>
    <t>それぞれ上位の個体が、強化の候補といえます。</t>
    <rPh sb="4" eb="6">
      <t>ジョウイ</t>
    </rPh>
    <rPh sb="7" eb="9">
      <t>コタイ</t>
    </rPh>
    <rPh sb="11" eb="13">
      <t>キョウカ</t>
    </rPh>
    <rPh sb="14" eb="16">
      <t>コウホ</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</si>
  <si>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</si>
  <si>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</si>
  <si>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</si>
  <si>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</si>
  <si>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</si>
  <si>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</si>
  <si>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</si>
  <si>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</si>
  <si>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</si>
  <si>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</si>
  <si>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</si>
  <si>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</si>
  <si>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 xml:space="preserve"> ボタンを押す際に「わざを空白にする」にチェックしておくと、わざのセルが空白になり、</t>
    <rPh sb="5" eb="6">
      <t>オ</t>
    </rPh>
    <rPh sb="7" eb="8">
      <t>サイ</t>
    </rPh>
    <rPh sb="13" eb="15">
      <t>クウハク</t>
    </rPh>
    <rPh sb="36" eb="38">
      <t>クウハク</t>
    </rPh>
    <phoneticPr fontId="3"/>
  </si>
  <si>
    <t>限定わざ以外の組み合わせによるパラメータの平均値でランキングできるようになります。</t>
    <phoneticPr fontId="3"/>
  </si>
  <si>
    <t>v0.2</t>
    <phoneticPr fontId="3"/>
  </si>
  <si>
    <t>以降すべてを更新ボタン</t>
    <rPh sb="0" eb="2">
      <t>イコウ</t>
    </rPh>
    <rPh sb="6" eb="8">
      <t>コウシン</t>
    </rPh>
    <phoneticPr fontId="3"/>
  </si>
  <si>
    <t>個体マップの再作成、ジム・対戦シートでのすべての相手について再計算、期待個体シートの再作成、の一連を行います。</t>
    <rPh sb="0" eb="2">
      <t>コタイ</t>
    </rPh>
    <rPh sb="6" eb="7">
      <t>サイ</t>
    </rPh>
    <rPh sb="7" eb="9">
      <t>サクセイ</t>
    </rPh>
    <rPh sb="13" eb="15">
      <t>タイセン</t>
    </rPh>
    <rPh sb="24" eb="26">
      <t>アイテ</t>
    </rPh>
    <rPh sb="30" eb="33">
      <t>サイケイサン</t>
    </rPh>
    <rPh sb="34" eb="38">
      <t>キタイ</t>
    </rPh>
    <rPh sb="42" eb="45">
      <t>サイサクセイ</t>
    </rPh>
    <rPh sb="47" eb="49">
      <t>イチレン</t>
    </rPh>
    <rPh sb="50" eb="51">
      <t>オコナ</t>
    </rPh>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</si>
  <si>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</si>
  <si>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</si>
  <si>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</si>
  <si>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</si>
  <si>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</si>
  <si>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</si>
  <si>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</si>
  <si>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</si>
  <si>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</si>
  <si>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</si>
  <si>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</si>
  <si>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</si>
  <si>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</si>
  <si>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</si>
  <si>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</si>
  <si>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</si>
  <si>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</si>
  <si>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</si>
  <si>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</si>
  <si>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</si>
  <si>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</si>
  <si>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</si>
  <si>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</si>
  <si>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</si>
  <si>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</si>
  <si>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</si>
  <si>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</si>
  <si>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</si>
  <si>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</si>
  <si>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</si>
  <si>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t>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</si>
  <si>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</si>
  <si>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</si>
  <si>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</si>
  <si>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</si>
  <si>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</si>
  <si>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</si>
  <si>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</si>
  <si>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</si>
  <si>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</si>
  <si>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</si>
  <si>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</si>
  <si>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</si>
  <si>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</si>
  <si>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</si>
  <si>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</si>
  <si>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</si>
  <si>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</si>
  <si>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</si>
  <si>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</si>
  <si>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</si>
  <si>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</si>
  <si>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</si>
  <si>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</si>
  <si>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</si>
  <si>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cDPS</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</si>
  <si>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</si>
  <si>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</si>
  <si>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</si>
  <si>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</si>
  <si>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</si>
  <si>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</si>
  <si>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</si>
  <si>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</si>
  <si>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</si>
  <si>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</si>
  <si>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</si>
  <si>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</si>
  <si>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</si>
  <si>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</si>
  <si>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</si>
  <si>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</si>
  <si>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</si>
  <si>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</si>
  <si>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</si>
  <si>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</si>
  <si>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</si>
  <si>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</si>
  <si>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</si>
  <si>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</si>
  <si>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</si>
  <si>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</si>
  <si>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</si>
  <si>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</si>
  <si>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</si>
  <si>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</si>
  <si>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</si>
  <si>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</si>
  <si>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</si>
  <si>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</si>
  <si>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</si>
  <si>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</si>
  <si>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</si>
  <si>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</si>
  <si>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</si>
  <si>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_gage</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</si>
  <si>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</si>
  <si>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</si>
  <si>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量</t>
    </r>
    <r>
      <rPr>
        <sz val="10"/>
        <color rgb="FFFFDE79"/>
        <rFont val="メイリオ"/>
        <family val="3"/>
        <charset val="128"/>
      </rPr>
      <t>_gage</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</si>
  <si>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</si>
  <si>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</si>
  <si>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</si>
  <si>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</si>
  <si>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</si>
  <si>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</si>
  <si>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</si>
  <si>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</si>
  <si>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</si>
  <si>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</si>
  <si>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</si>
  <si>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</si>
  <si>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</si>
  <si>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</si>
  <si>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</si>
  <si>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</si>
  <si>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</si>
  <si>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</si>
  <si>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</si>
  <si>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</si>
  <si>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</si>
  <si>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</si>
  <si>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</si>
  <si>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</si>
  <si>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</si>
  <si>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</si>
  <si>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</si>
  <si>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</si>
  <si>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</si>
  <si>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</si>
  <si>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</si>
  <si>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</si>
  <si>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</si>
  <si>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</si>
  <si>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</si>
  <si>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</si>
  <si>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</si>
  <si>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</si>
  <si>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</si>
  <si>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</si>
  <si>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</si>
  <si>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</si>
  <si>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</si>
  <si>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</si>
  <si>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</si>
  <si>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</si>
  <si>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</si>
  <si>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</si>
  <si>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</si>
  <si>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</si>
  <si>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</si>
  <si>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</si>
  <si>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</si>
  <si>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</si>
  <si>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</si>
  <si>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</si>
  <si>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</si>
  <si>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</si>
  <si>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</si>
  <si>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</si>
  <si>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</si>
  <si>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</si>
  <si>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</si>
  <si>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</si>
  <si>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</si>
  <si>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ニックネーム</t>
    </r>
    <r>
      <rPr>
        <sz val="10"/>
        <color rgb="FFB9FFD9"/>
        <rFont val="メイリオ"/>
        <family val="3"/>
        <charset val="128"/>
        <scheme val="minor"/>
      </rPr>
      <t>_b</t>
    </r>
    <phoneticPr fontId="3"/>
  </si>
  <si>
    <r>
      <t>stDPS</t>
    </r>
    <r>
      <rPr>
        <sz val="10"/>
        <color rgb="FFB9FFD9"/>
        <rFont val="メイリオ"/>
        <family val="3"/>
        <charset val="128"/>
        <scheme val="minor"/>
      </rPr>
      <t>_bn</t>
    </r>
    <phoneticPr fontId="3"/>
  </si>
  <si>
    <r>
      <t>ゲージわざ</t>
    </r>
    <r>
      <rPr>
        <sz val="10"/>
        <color rgb="FFB9FFD9"/>
        <rFont val="メイリオ"/>
        <family val="3"/>
        <charset val="128"/>
        <scheme val="minor"/>
      </rPr>
      <t>_b</t>
    </r>
    <phoneticPr fontId="3"/>
  </si>
  <si>
    <r>
      <t>stDPS</t>
    </r>
    <r>
      <rPr>
        <sz val="10"/>
        <color rgb="FFB9FFD9"/>
        <rFont val="メイリオ"/>
        <family val="3"/>
        <charset val="128"/>
        <scheme val="minor"/>
      </rPr>
      <t>_bs</t>
    </r>
    <phoneticPr fontId="3"/>
  </si>
  <si>
    <r>
      <t>scDPS</t>
    </r>
    <r>
      <rPr>
        <sz val="10"/>
        <color rgb="FFB9FFD9"/>
        <rFont val="メイリオ"/>
        <family val="3"/>
        <charset val="128"/>
        <scheme val="minor"/>
      </rPr>
      <t>_b</t>
    </r>
    <phoneticPr fontId="3"/>
  </si>
  <si>
    <r>
      <t>KT</t>
    </r>
    <r>
      <rPr>
        <sz val="10"/>
        <color rgb="FFB9FFD9"/>
        <rFont val="メイリオ"/>
        <family val="3"/>
        <charset val="128"/>
        <scheme val="minor"/>
      </rPr>
      <t>_b</t>
    </r>
    <phoneticPr fontId="3"/>
  </si>
  <si>
    <r>
      <t>KTR</t>
    </r>
    <r>
      <rPr>
        <sz val="10"/>
        <color rgb="FFB9FFD9"/>
        <rFont val="メイリオ"/>
        <family val="3"/>
        <charset val="128"/>
        <scheme val="minor"/>
      </rPr>
      <t>_b</t>
    </r>
    <phoneticPr fontId="3"/>
  </si>
  <si>
    <r>
      <t>ニックネーム</t>
    </r>
    <r>
      <rPr>
        <sz val="10"/>
        <color rgb="FFC6FFB9"/>
        <rFont val="メイリオ"/>
        <family val="3"/>
        <charset val="128"/>
        <scheme val="minor"/>
      </rPr>
      <t>_w</t>
    </r>
    <phoneticPr fontId="3"/>
  </si>
  <si>
    <r>
      <t>stDPS</t>
    </r>
    <r>
      <rPr>
        <sz val="10"/>
        <color rgb="FFC6FFB9"/>
        <rFont val="メイリオ"/>
        <family val="3"/>
        <charset val="128"/>
        <scheme val="minor"/>
      </rPr>
      <t>_wn</t>
    </r>
    <phoneticPr fontId="3"/>
  </si>
  <si>
    <r>
      <t>ゲージわざ</t>
    </r>
    <r>
      <rPr>
        <sz val="10"/>
        <color rgb="FFC6FFB9"/>
        <rFont val="メイリオ"/>
        <family val="3"/>
        <charset val="128"/>
        <scheme val="minor"/>
      </rPr>
      <t>_w</t>
    </r>
    <phoneticPr fontId="3"/>
  </si>
  <si>
    <r>
      <t>stDPS</t>
    </r>
    <r>
      <rPr>
        <sz val="10"/>
        <color rgb="FFC6FFB9"/>
        <rFont val="メイリオ"/>
        <family val="3"/>
        <charset val="128"/>
        <scheme val="minor"/>
      </rPr>
      <t>_ws</t>
    </r>
    <phoneticPr fontId="3"/>
  </si>
  <si>
    <r>
      <t>scDPS</t>
    </r>
    <r>
      <rPr>
        <sz val="10"/>
        <color rgb="FFC6FFB9"/>
        <rFont val="メイリオ"/>
        <family val="3"/>
        <charset val="128"/>
        <scheme val="minor"/>
      </rPr>
      <t>_w</t>
    </r>
    <phoneticPr fontId="3"/>
  </si>
  <si>
    <r>
      <t>KT</t>
    </r>
    <r>
      <rPr>
        <sz val="10"/>
        <color rgb="FFC6FFB9"/>
        <rFont val="メイリオ"/>
        <family val="3"/>
        <charset val="128"/>
        <scheme val="minor"/>
      </rPr>
      <t>_w</t>
    </r>
    <phoneticPr fontId="3"/>
  </si>
  <si>
    <r>
      <t>KTR</t>
    </r>
    <r>
      <rPr>
        <sz val="10"/>
        <color rgb="FFC6FFB9"/>
        <rFont val="メイリオ"/>
        <family val="3"/>
        <charset val="128"/>
        <scheme val="minor"/>
      </rPr>
      <t>_w</t>
    </r>
    <phoneticPr fontId="3"/>
  </si>
  <si>
    <r>
      <t>ニックネーム</t>
    </r>
    <r>
      <rPr>
        <sz val="10"/>
        <color rgb="FFD0FFE6"/>
        <rFont val="メイリオ"/>
        <family val="3"/>
        <charset val="128"/>
        <scheme val="minor"/>
      </rPr>
      <t>_pb</t>
    </r>
    <phoneticPr fontId="3"/>
  </si>
  <si>
    <r>
      <t>stDPS</t>
    </r>
    <r>
      <rPr>
        <sz val="10"/>
        <color rgb="FFD0FFE6"/>
        <rFont val="メイリオ"/>
        <family val="3"/>
        <charset val="128"/>
        <scheme val="minor"/>
      </rPr>
      <t>_pbn</t>
    </r>
    <phoneticPr fontId="3"/>
  </si>
  <si>
    <r>
      <t>ゲージわざ</t>
    </r>
    <r>
      <rPr>
        <sz val="10"/>
        <color rgb="FFD0FFE6"/>
        <rFont val="メイリオ"/>
        <family val="3"/>
        <charset val="128"/>
        <scheme val="minor"/>
      </rPr>
      <t>_pb</t>
    </r>
    <phoneticPr fontId="3"/>
  </si>
  <si>
    <r>
      <t>stDPS</t>
    </r>
    <r>
      <rPr>
        <sz val="10"/>
        <color rgb="FFD0FFE6"/>
        <rFont val="メイリオ"/>
        <family val="3"/>
        <charset val="128"/>
        <scheme val="minor"/>
      </rPr>
      <t>_pbs</t>
    </r>
    <phoneticPr fontId="3"/>
  </si>
  <si>
    <r>
      <t>scDPS</t>
    </r>
    <r>
      <rPr>
        <sz val="10"/>
        <color rgb="FFD0FFE6"/>
        <rFont val="メイリオ"/>
        <family val="3"/>
        <charset val="128"/>
        <scheme val="minor"/>
      </rPr>
      <t>_pb</t>
    </r>
    <phoneticPr fontId="3"/>
  </si>
  <si>
    <r>
      <t>KT</t>
    </r>
    <r>
      <rPr>
        <sz val="10"/>
        <color rgb="FFD0FFE6"/>
        <rFont val="メイリオ"/>
        <family val="3"/>
        <charset val="128"/>
        <scheme val="minor"/>
      </rPr>
      <t>_pb</t>
    </r>
    <phoneticPr fontId="3"/>
  </si>
  <si>
    <r>
      <t>KTR</t>
    </r>
    <r>
      <rPr>
        <sz val="10"/>
        <color rgb="FFD0FFE6"/>
        <rFont val="メイリオ"/>
        <family val="3"/>
        <charset val="128"/>
        <scheme val="minor"/>
      </rPr>
      <t>_pb</t>
    </r>
    <phoneticPr fontId="3"/>
  </si>
  <si>
    <r>
      <t>ニックネーム</t>
    </r>
    <r>
      <rPr>
        <sz val="10"/>
        <color rgb="FFE1FFD1"/>
        <rFont val="メイリオ"/>
        <family val="3"/>
        <charset val="128"/>
        <scheme val="minor"/>
      </rPr>
      <t>_pw</t>
    </r>
    <phoneticPr fontId="3"/>
  </si>
  <si>
    <r>
      <t>stDPS</t>
    </r>
    <r>
      <rPr>
        <sz val="10"/>
        <color rgb="FFE1FFD1"/>
        <rFont val="メイリオ"/>
        <family val="3"/>
        <charset val="128"/>
        <scheme val="minor"/>
      </rPr>
      <t>_pwn</t>
    </r>
    <phoneticPr fontId="3"/>
  </si>
  <si>
    <r>
      <t>ゲージわざ</t>
    </r>
    <r>
      <rPr>
        <sz val="10"/>
        <color rgb="FFE1FFD1"/>
        <rFont val="メイリオ"/>
        <family val="3"/>
        <charset val="128"/>
        <scheme val="minor"/>
      </rPr>
      <t>_pw</t>
    </r>
    <phoneticPr fontId="3"/>
  </si>
  <si>
    <r>
      <t>stDPS</t>
    </r>
    <r>
      <rPr>
        <sz val="10"/>
        <color rgb="FFE1FFD1"/>
        <rFont val="メイリオ"/>
        <family val="3"/>
        <charset val="128"/>
        <scheme val="minor"/>
      </rPr>
      <t>_pws</t>
    </r>
    <phoneticPr fontId="3"/>
  </si>
  <si>
    <r>
      <t>scDPS</t>
    </r>
    <r>
      <rPr>
        <sz val="10"/>
        <color rgb="FFE1FFD1"/>
        <rFont val="メイリオ"/>
        <family val="3"/>
        <charset val="128"/>
        <scheme val="minor"/>
      </rPr>
      <t>_pw</t>
    </r>
    <phoneticPr fontId="3"/>
  </si>
  <si>
    <r>
      <t>KT</t>
    </r>
    <r>
      <rPr>
        <sz val="10"/>
        <color rgb="FFE1FFD1"/>
        <rFont val="メイリオ"/>
        <family val="3"/>
        <charset val="128"/>
        <scheme val="minor"/>
      </rPr>
      <t>_pw</t>
    </r>
    <phoneticPr fontId="3"/>
  </si>
  <si>
    <r>
      <t>KTR</t>
    </r>
    <r>
      <rPr>
        <sz val="10"/>
        <color rgb="FFE1FFD1"/>
        <rFont val="メイリオ"/>
        <family val="3"/>
        <charset val="128"/>
        <scheme val="minor"/>
      </rPr>
      <t>_pw</t>
    </r>
    <phoneticPr fontId="3"/>
  </si>
  <si>
    <r>
      <t>ランク落ち</t>
    </r>
    <r>
      <rPr>
        <sz val="10"/>
        <color rgb="FFE1FFD1"/>
        <rFont val="メイリオ"/>
        <family val="3"/>
        <charset val="128"/>
        <scheme val="minor"/>
      </rPr>
      <t>_pw</t>
    </r>
    <phoneticPr fontId="3"/>
  </si>
  <si>
    <r>
      <t>stDPT</t>
    </r>
    <r>
      <rPr>
        <sz val="10"/>
        <color rgb="FFB9FFD9"/>
        <rFont val="メイリオ"/>
        <family val="3"/>
        <charset val="128"/>
        <scheme val="minor"/>
      </rPr>
      <t>_bn</t>
    </r>
    <phoneticPr fontId="3"/>
  </si>
  <si>
    <r>
      <t>stDPT</t>
    </r>
    <r>
      <rPr>
        <sz val="10"/>
        <color rgb="FFB9FFD9"/>
        <rFont val="メイリオ"/>
        <family val="3"/>
        <charset val="128"/>
        <scheme val="minor"/>
      </rPr>
      <t>_bs</t>
    </r>
    <phoneticPr fontId="3"/>
  </si>
  <si>
    <r>
      <t>scDPT</t>
    </r>
    <r>
      <rPr>
        <sz val="10"/>
        <color rgb="FFB9FFD9"/>
        <rFont val="メイリオ"/>
        <family val="3"/>
        <charset val="128"/>
        <scheme val="minor"/>
      </rPr>
      <t>_b</t>
    </r>
    <phoneticPr fontId="3"/>
  </si>
  <si>
    <r>
      <t>KT</t>
    </r>
    <r>
      <rPr>
        <sz val="10"/>
        <color rgb="FFB9FFD9"/>
        <rFont val="メイリオ"/>
        <family val="3"/>
        <charset val="128"/>
        <scheme val="minor"/>
      </rPr>
      <t>_b</t>
    </r>
    <phoneticPr fontId="3"/>
  </si>
  <si>
    <r>
      <t>stDPT</t>
    </r>
    <r>
      <rPr>
        <sz val="10"/>
        <color rgb="FFD0FFE6"/>
        <rFont val="メイリオ"/>
        <family val="3"/>
        <charset val="128"/>
        <scheme val="minor"/>
      </rPr>
      <t>_pbn</t>
    </r>
    <phoneticPr fontId="3"/>
  </si>
  <si>
    <r>
      <t>stDPT</t>
    </r>
    <r>
      <rPr>
        <sz val="10"/>
        <color rgb="FFD0FFE6"/>
        <rFont val="メイリオ"/>
        <family val="3"/>
        <charset val="128"/>
        <scheme val="minor"/>
      </rPr>
      <t>_pbs</t>
    </r>
    <phoneticPr fontId="3"/>
  </si>
  <si>
    <r>
      <t>scDPT</t>
    </r>
    <r>
      <rPr>
        <sz val="10"/>
        <color rgb="FFD0FFE6"/>
        <rFont val="メイリオ"/>
        <family val="3"/>
        <charset val="128"/>
        <scheme val="minor"/>
      </rPr>
      <t>_pb</t>
    </r>
    <phoneticPr fontId="3"/>
  </si>
  <si>
    <r>
      <t>PL</t>
    </r>
    <r>
      <rPr>
        <sz val="10"/>
        <color rgb="FFFFFFFF"/>
        <rFont val="メイリオ"/>
        <family val="3"/>
        <charset val="128"/>
        <scheme val="minor"/>
      </rPr>
      <t>_pr</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</si>
</sst>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_);[Red]\(0.0\)"/>
    <numFmt numFmtId="178" formatCode="0.0_ "/>
    <numFmt numFmtId="179" formatCode="0.00_ "/>
    <numFmt numFmtId="180" formatCode="0_);[Red]\(0\)"/>
    <numFmt numFmtId="181" formatCode="0_ "/>
    <numFmt numFmtId="182" formatCode="0.00_);[Red]\(0.00\)"/>
  </numFmts>
  <fonts count="169"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11"/>
      <color rgb="FF8C949C"/>
      <name val="メイリオ"/>
      <family val="2"/>
      <charset val="128"/>
      <scheme val="minor"/>
    </font>
    <font>
      <sz val="11"/>
      <color rgb="FFCA4067"/>
      <name val="メイリオ"/>
      <family val="2"/>
      <charset val="128"/>
      <scheme val="minor"/>
    </font>
    <font>
      <sz val="11"/>
      <color rgb="FFA364C3"/>
      <name val="メイリオ"/>
      <family val="2"/>
      <charset val="128"/>
      <scheme val="minor"/>
    </font>
    <font>
      <sz val="11"/>
      <color rgb="FFD47948"/>
      <name val="メイリオ"/>
      <family val="2"/>
      <charset val="128"/>
      <scheme val="minor"/>
    </font>
    <font>
      <sz val="11"/>
      <color rgb="FF90AADE"/>
      <name val="メイリオ"/>
      <family val="2"/>
      <charset val="128"/>
      <scheme val="minor"/>
    </font>
    <font>
      <sz val="11"/>
      <color rgb="FF90BE2F"/>
      <name val="メイリオ"/>
      <family val="2"/>
      <charset val="128"/>
      <scheme val="minor"/>
    </font>
    <font>
      <sz val="11"/>
      <color rgb="FFC4B589"/>
      <name val="メイリオ"/>
      <family val="2"/>
      <charset val="128"/>
      <scheme val="minor"/>
    </font>
    <font>
      <sz val="11"/>
      <color rgb="FF5367A9"/>
      <name val="メイリオ"/>
      <family val="2"/>
      <charset val="128"/>
      <scheme val="minor"/>
    </font>
    <font>
      <sz val="11"/>
      <color rgb="FF508698"/>
      <name val="メイリオ"/>
      <family val="2"/>
      <charset val="128"/>
      <scheme val="minor"/>
    </font>
    <font>
      <sz val="11"/>
      <color rgb="FFFF9D54"/>
      <name val="メイリオ"/>
      <family val="2"/>
      <charset val="128"/>
      <scheme val="minor"/>
    </font>
    <font>
      <sz val="11"/>
      <color rgb="FF4F90D1"/>
      <name val="メイリオ"/>
      <family val="2"/>
      <charset val="128"/>
      <scheme val="minor"/>
    </font>
    <font>
      <sz val="11"/>
      <color rgb="FFF3D23F"/>
      <name val="メイリオ"/>
      <family val="2"/>
      <charset val="128"/>
      <scheme val="minor"/>
    </font>
    <font>
      <sz val="11"/>
      <color rgb="FF5EB654"/>
      <name val="メイリオ"/>
      <family val="2"/>
      <charset val="128"/>
      <scheme val="minor"/>
    </font>
    <font>
      <sz val="11"/>
      <color rgb="FF71C7BA"/>
      <name val="メイリオ"/>
      <family val="2"/>
      <charset val="128"/>
      <scheme val="minor"/>
    </font>
    <font>
      <sz val="11"/>
      <color rgb="FFF86E73"/>
      <name val="メイリオ"/>
      <family val="2"/>
      <charset val="128"/>
      <scheme val="minor"/>
    </font>
    <font>
      <sz val="11"/>
      <color rgb="FF0B68B9"/>
      <name val="メイリオ"/>
      <family val="2"/>
      <charset val="128"/>
      <scheme val="minor"/>
    </font>
    <font>
      <sz val="11"/>
      <color rgb="FF585365"/>
      <name val="メイリオ"/>
      <family val="2"/>
      <charset val="128"/>
      <scheme val="minor"/>
    </font>
    <font>
      <sz val="11"/>
      <color rgb="FFEC90E2"/>
      <name val="メイリオ"/>
      <family val="2"/>
      <charset val="128"/>
      <scheme val="minor"/>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sz val="11"/>
      <color rgb="FF808080"/>
      <name val="メイリオ"/>
      <family val="2"/>
      <charset val="128"/>
      <scheme val="minor"/>
    </font>
    <font>
      <sz val="11"/>
      <color indexed="37"/>
      <name val="メイリオ"/>
      <family val="2"/>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C6FFB9"/>
      <name val="メイリオ"/>
      <family val="3"/>
      <charset val="128"/>
      <scheme val="minor"/>
    </font>
    <font>
      <sz val="10"/>
      <color rgb="FFD0FFE6"/>
      <name val="メイリオ"/>
      <family val="3"/>
      <charset val="128"/>
      <scheme val="minor"/>
    </font>
    <font>
      <sz val="10"/>
      <color rgb="FFE1FFD1"/>
      <name val="メイリオ"/>
      <family val="3"/>
      <charset val="128"/>
      <scheme val="minor"/>
    </font>
    <font>
      <sz val="10"/>
      <color rgb="FFFFFFFF"/>
      <name val="メイリオ"/>
      <family val="3"/>
      <charset val="128"/>
      <scheme val="minor"/>
    </font>
    <font>
      <sz val="11"/>
      <color rgb="FFD09C00"/>
      <name val="メイリオ"/>
      <family val="2"/>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sz val="10"/>
      <color rgb="FFFF3939"/>
      <name val="メイリオ"/>
      <family val="2"/>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rgb="FFC6FFB9"/>
        <bgColor indexed="64"/>
      </patternFill>
    </fill>
    <fill>
      <patternFill patternType="solid">
        <fgColor rgb="FFE1FFD1"/>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s>
  <borders count="26">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right style="medium">
        <color auto="1"/>
      </right>
      <top/>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bottom style="thin">
        <color indexed="23"/>
      </bottom>
      <diagonal/>
    </border>
    <border>
      <left style="thin">
        <color theme="2" tint="-0.249977111117893"/>
      </left>
      <right/>
      <top/>
      <bottom style="thin">
        <color indexed="23"/>
      </bottom>
      <diagonal/>
    </border>
    <border>
      <left/>
      <right style="thin">
        <color theme="7" tint="-0.499984740745262"/>
      </right>
      <top/>
      <bottom/>
      <diagonal/>
    </border>
    <border>
      <left/>
      <right/>
      <top style="thin">
        <color indexed="23"/>
      </top>
      <bottom style="thin">
        <color indexed="64"/>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46">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8" fontId="2" fillId="0" borderId="1" xfId="0" applyNumberFormat="1"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178" fontId="4" fillId="0" borderId="1" xfId="0" applyNumberFormat="1"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10" fontId="0" fillId="0" borderId="0" xfId="0" applyNumberFormat="1">
      <alignment vertical="center"/>
    </xf>
    <xf numFmtId="0" fontId="13" fillId="0" borderId="0" xfId="0" applyFont="1" applyFill="1" applyBorder="1">
      <alignment vertical="center"/>
    </xf>
    <xf numFmtId="10" fontId="13" fillId="0" borderId="0" xfId="0" applyNumberFormat="1" applyFont="1" applyFill="1">
      <alignment vertical="center"/>
    </xf>
    <xf numFmtId="0" fontId="13" fillId="0" borderId="0" xfId="0" applyFont="1" applyFill="1">
      <alignment vertical="center"/>
    </xf>
    <xf numFmtId="0" fontId="102" fillId="0" borderId="4" xfId="0" applyFont="1" applyFill="1" applyBorder="1" applyAlignment="1">
      <alignment vertical="center" wrapText="1"/>
    </xf>
    <xf numFmtId="0" fontId="102" fillId="0" borderId="5" xfId="0" applyFont="1" applyFill="1" applyBorder="1" applyAlignment="1">
      <alignment vertical="center" wrapText="1"/>
    </xf>
    <xf numFmtId="0" fontId="102" fillId="0" borderId="6" xfId="0" applyFont="1" applyFill="1" applyBorder="1" applyAlignment="1">
      <alignment vertical="center" wrapText="1"/>
    </xf>
    <xf numFmtId="0" fontId="102" fillId="0" borderId="7" xfId="0" applyFont="1" applyFill="1" applyBorder="1" applyAlignment="1">
      <alignment vertical="center" wrapText="1"/>
    </xf>
    <xf numFmtId="0" fontId="4" fillId="0" borderId="0" xfId="0" applyFont="1" applyAlignment="1">
      <alignment vertical="center" wrapText="1"/>
    </xf>
    <xf numFmtId="0" fontId="14" fillId="0" borderId="0" xfId="3" applyFont="1" applyFill="1" applyBorder="1" applyAlignment="1">
      <alignment horizontal="center" vertical="center" wrapText="1"/>
    </xf>
    <xf numFmtId="0" fontId="14" fillId="0" borderId="9" xfId="3" applyFont="1" applyFill="1" applyBorder="1" applyAlignment="1">
      <alignment horizontal="center" vertical="center" wrapText="1"/>
    </xf>
    <xf numFmtId="0" fontId="14" fillId="0" borderId="10" xfId="3" applyFont="1" applyFill="1" applyBorder="1" applyAlignment="1">
      <alignment horizontal="center" vertical="center" wrapText="1"/>
    </xf>
    <xf numFmtId="0" fontId="4" fillId="0" borderId="11" xfId="0" applyFont="1" applyBorder="1">
      <alignment vertical="center"/>
    </xf>
    <xf numFmtId="0" fontId="1" fillId="2" borderId="11"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34" borderId="0" xfId="0" applyFont="1" applyFill="1" applyBorder="1">
      <alignment vertical="center"/>
    </xf>
    <xf numFmtId="0" fontId="10" fillId="36" borderId="0" xfId="0" applyFont="1" applyFill="1" applyBorder="1">
      <alignment vertical="center"/>
    </xf>
    <xf numFmtId="0" fontId="10" fillId="37" borderId="0" xfId="0" applyFont="1" applyFill="1" applyBorder="1">
      <alignment vertical="center"/>
    </xf>
    <xf numFmtId="0" fontId="10" fillId="14" borderId="0" xfId="0" applyFont="1" applyFill="1" applyBorder="1">
      <alignment vertical="center"/>
    </xf>
    <xf numFmtId="0" fontId="4" fillId="0" borderId="0" xfId="0" applyFont="1" applyFill="1" applyBorder="1" applyAlignment="1">
      <alignment horizontal="right" vertical="center"/>
    </xf>
    <xf numFmtId="0" fontId="65" fillId="0" borderId="0" xfId="0" applyFont="1">
      <alignment vertical="center"/>
    </xf>
    <xf numFmtId="10" fontId="14" fillId="0" borderId="8" xfId="3" applyNumberFormat="1" applyFont="1" applyFill="1" applyBorder="1" applyAlignment="1">
      <alignment horizontal="center" vertical="center" wrapText="1"/>
    </xf>
    <xf numFmtId="0" fontId="4" fillId="0" borderId="12" xfId="0" applyFont="1" applyBorder="1">
      <alignment vertical="center"/>
    </xf>
    <xf numFmtId="0" fontId="4" fillId="38" borderId="12" xfId="0" applyFont="1" applyFill="1" applyBorder="1">
      <alignment vertical="center"/>
    </xf>
    <xf numFmtId="181" fontId="2" fillId="0" borderId="0" xfId="0" applyNumberFormat="1" applyFont="1">
      <alignment vertical="center"/>
    </xf>
    <xf numFmtId="0" fontId="108" fillId="0" borderId="0" xfId="0" applyFont="1">
      <alignment vertical="center"/>
    </xf>
    <xf numFmtId="0" fontId="109" fillId="0" borderId="0" xfId="0" applyFont="1">
      <alignment vertical="center"/>
    </xf>
    <xf numFmtId="0" fontId="110" fillId="0" borderId="0" xfId="0" applyFont="1">
      <alignment vertical="center"/>
    </xf>
    <xf numFmtId="0" fontId="111" fillId="0" borderId="0" xfId="0" applyFont="1">
      <alignment vertical="center"/>
    </xf>
    <xf numFmtId="0" fontId="112" fillId="0" borderId="0" xfId="0" applyFont="1">
      <alignment vertical="center"/>
    </xf>
    <xf numFmtId="0" fontId="113" fillId="0" borderId="0" xfId="0" applyFont="1">
      <alignment vertical="center"/>
    </xf>
    <xf numFmtId="0" fontId="114" fillId="0" borderId="0" xfId="0" applyFont="1">
      <alignment vertical="center"/>
    </xf>
    <xf numFmtId="0" fontId="115" fillId="0" borderId="0" xfId="0" applyFont="1">
      <alignment vertical="center"/>
    </xf>
    <xf numFmtId="0" fontId="116" fillId="0" borderId="0" xfId="0" applyFont="1">
      <alignment vertical="center"/>
    </xf>
    <xf numFmtId="0" fontId="117" fillId="0" borderId="0" xfId="0" applyFont="1">
      <alignment vertical="center"/>
    </xf>
    <xf numFmtId="0" fontId="118" fillId="0" borderId="0" xfId="0" applyFont="1">
      <alignment vertical="center"/>
    </xf>
    <xf numFmtId="0" fontId="119" fillId="0" borderId="0" xfId="0" applyFont="1">
      <alignment vertical="center"/>
    </xf>
    <xf numFmtId="0" fontId="120" fillId="0" borderId="0" xfId="0" applyFont="1">
      <alignment vertical="center"/>
    </xf>
    <xf numFmtId="0" fontId="121" fillId="0" borderId="0" xfId="0" applyFont="1">
      <alignment vertical="center"/>
    </xf>
    <xf numFmtId="0" fontId="122" fillId="0" borderId="0" xfId="0" applyFont="1">
      <alignment vertical="center"/>
    </xf>
    <xf numFmtId="0" fontId="123" fillId="0" borderId="0" xfId="0" applyFont="1">
      <alignment vertical="center"/>
    </xf>
    <xf numFmtId="0" fontId="124" fillId="0" borderId="0" xfId="0" applyFont="1">
      <alignment vertical="center"/>
    </xf>
    <xf numFmtId="0" fontId="78" fillId="0" borderId="12" xfId="0" applyFont="1" applyFill="1" applyBorder="1" applyAlignment="1">
      <alignment vertical="top"/>
    </xf>
    <xf numFmtId="0" fontId="78" fillId="0" borderId="13" xfId="0" applyFont="1" applyFill="1" applyBorder="1" applyAlignment="1">
      <alignment vertical="top"/>
    </xf>
    <xf numFmtId="0" fontId="78" fillId="0" borderId="14" xfId="0" applyFont="1" applyFill="1" applyBorder="1" applyAlignment="1">
      <alignment vertical="top"/>
    </xf>
    <xf numFmtId="0" fontId="89" fillId="0" borderId="14" xfId="0" applyFont="1" applyFill="1" applyBorder="1" applyAlignment="1">
      <alignment vertical="center" wrapText="1"/>
    </xf>
    <xf numFmtId="0" fontId="78" fillId="0" borderId="14" xfId="0" applyFont="1" applyFill="1" applyBorder="1" applyAlignment="1">
      <alignment vertical="center" wrapText="1"/>
    </xf>
    <xf numFmtId="0" fontId="83" fillId="0" borderId="14" xfId="0" applyFont="1" applyFill="1" applyBorder="1" applyAlignment="1">
      <alignment vertical="center" wrapText="1"/>
    </xf>
    <xf numFmtId="0" fontId="79" fillId="0" borderId="14" xfId="0" applyFont="1" applyFill="1" applyBorder="1" applyAlignment="1">
      <alignment vertical="center" wrapText="1"/>
    </xf>
    <xf numFmtId="0" fontId="128"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28" fillId="13" borderId="0" xfId="0" applyNumberFormat="1" applyFont="1" applyFill="1" applyAlignment="1">
      <alignment vertical="center"/>
    </xf>
    <xf numFmtId="0" fontId="128" fillId="12" borderId="0" xfId="0" applyFont="1" applyFill="1">
      <alignment vertical="center"/>
    </xf>
    <xf numFmtId="178" fontId="128" fillId="12" borderId="0" xfId="0" applyNumberFormat="1" applyFont="1" applyFill="1">
      <alignment vertical="center"/>
    </xf>
    <xf numFmtId="178" fontId="128" fillId="13" borderId="0" xfId="0" applyNumberFormat="1" applyFont="1" applyFill="1">
      <alignment vertical="center"/>
    </xf>
    <xf numFmtId="0" fontId="128" fillId="0" borderId="0" xfId="0" applyFont="1">
      <alignment vertical="center"/>
    </xf>
    <xf numFmtId="0" fontId="78" fillId="0" borderId="0" xfId="0" applyFont="1">
      <alignment vertical="center"/>
    </xf>
    <xf numFmtId="0" fontId="129" fillId="0" borderId="3" xfId="0" applyFont="1" applyBorder="1">
      <alignment vertical="center"/>
    </xf>
    <xf numFmtId="0" fontId="130" fillId="0" borderId="3" xfId="0" applyFont="1" applyBorder="1">
      <alignment vertical="center"/>
    </xf>
    <xf numFmtId="0" fontId="131" fillId="0" borderId="3" xfId="0" applyFont="1" applyBorder="1">
      <alignment vertical="center"/>
    </xf>
    <xf numFmtId="0" fontId="132" fillId="0" borderId="3" xfId="0" applyFont="1" applyBorder="1">
      <alignment vertical="center"/>
    </xf>
    <xf numFmtId="0" fontId="133" fillId="0" borderId="3" xfId="0" applyFont="1" applyBorder="1">
      <alignment vertical="center"/>
    </xf>
    <xf numFmtId="0" fontId="134" fillId="0" borderId="3" xfId="0" applyFont="1" applyBorder="1">
      <alignment vertical="center"/>
    </xf>
    <xf numFmtId="0" fontId="135"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5" xfId="0" applyFont="1" applyBorder="1">
      <alignment vertical="center"/>
    </xf>
    <xf numFmtId="178" fontId="2" fillId="0" borderId="0" xfId="0" applyNumberFormat="1" applyFont="1" applyBorder="1">
      <alignment vertical="center"/>
    </xf>
    <xf numFmtId="178" fontId="10" fillId="40" borderId="0" xfId="0" applyNumberFormat="1" applyFont="1" applyFill="1" applyBorder="1" applyAlignment="1">
      <alignment vertical="center"/>
    </xf>
    <xf numFmtId="178" fontId="4" fillId="0" borderId="0" xfId="0" applyNumberFormat="1" applyFont="1" applyBorder="1">
      <alignment vertical="center"/>
    </xf>
    <xf numFmtId="177" fontId="9" fillId="39"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177" fontId="9" fillId="40" borderId="0" xfId="0" applyNumberFormat="1" applyFont="1" applyFill="1" applyBorder="1" applyAlignment="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9" borderId="0" xfId="0" applyFont="1" applyFill="1" applyBorder="1" applyAlignment="1">
      <alignment vertical="center"/>
    </xf>
    <xf numFmtId="177" fontId="10" fillId="39" borderId="0" xfId="0" applyNumberFormat="1" applyFont="1" applyFill="1" applyBorder="1" applyAlignment="1">
      <alignment vertical="center"/>
    </xf>
    <xf numFmtId="181" fontId="9" fillId="39"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28" fillId="34" borderId="0" xfId="0" applyFont="1" applyFill="1" applyBorder="1">
      <alignment vertical="center"/>
    </xf>
    <xf numFmtId="0" fontId="128" fillId="34" borderId="0" xfId="0" applyFont="1" applyFill="1">
      <alignment vertical="center"/>
    </xf>
    <xf numFmtId="0" fontId="128" fillId="39" borderId="0" xfId="0" applyFont="1" applyFill="1" applyBorder="1">
      <alignment vertical="center"/>
    </xf>
    <xf numFmtId="177" fontId="128" fillId="39" borderId="0" xfId="0" applyNumberFormat="1" applyFont="1" applyFill="1" applyBorder="1">
      <alignment vertical="center"/>
    </xf>
    <xf numFmtId="181" fontId="128" fillId="39" borderId="0" xfId="0" applyNumberFormat="1" applyFont="1" applyFill="1" applyBorder="1">
      <alignment vertical="center"/>
    </xf>
    <xf numFmtId="177" fontId="128" fillId="40" borderId="0" xfId="0" applyNumberFormat="1" applyFont="1" applyFill="1" applyBorder="1">
      <alignment vertical="center"/>
    </xf>
    <xf numFmtId="178" fontId="128" fillId="40" borderId="0" xfId="0" applyNumberFormat="1" applyFont="1" applyFill="1" applyBorder="1">
      <alignment vertical="center"/>
    </xf>
    <xf numFmtId="176" fontId="128" fillId="0" borderId="0" xfId="0" applyNumberFormat="1" applyFont="1">
      <alignment vertical="center"/>
    </xf>
    <xf numFmtId="177" fontId="128" fillId="0" borderId="0" xfId="0" applyNumberFormat="1" applyFont="1">
      <alignment vertical="center"/>
    </xf>
    <xf numFmtId="178" fontId="128" fillId="40" borderId="0" xfId="0" applyNumberFormat="1" applyFont="1" applyFill="1">
      <alignment vertical="center"/>
    </xf>
    <xf numFmtId="178" fontId="128" fillId="40" borderId="1" xfId="0" applyNumberFormat="1" applyFont="1" applyFill="1" applyBorder="1">
      <alignment vertical="center"/>
    </xf>
    <xf numFmtId="178" fontId="128" fillId="41" borderId="0" xfId="0" applyNumberFormat="1" applyFont="1" applyFill="1">
      <alignment vertical="center"/>
    </xf>
    <xf numFmtId="0" fontId="128" fillId="10" borderId="0" xfId="0" applyFont="1" applyFill="1" applyBorder="1">
      <alignment vertical="center"/>
    </xf>
    <xf numFmtId="0" fontId="10" fillId="42" borderId="0" xfId="0" applyFont="1" applyFill="1" applyBorder="1" applyAlignment="1">
      <alignment vertical="center"/>
    </xf>
    <xf numFmtId="0" fontId="128" fillId="39" borderId="0" xfId="0" applyFont="1" applyFill="1">
      <alignment vertical="center"/>
    </xf>
    <xf numFmtId="0" fontId="10" fillId="43" borderId="0" xfId="0" applyFont="1" applyFill="1" applyBorder="1" applyAlignment="1">
      <alignment vertical="center"/>
    </xf>
    <xf numFmtId="178" fontId="10" fillId="43" borderId="0" xfId="0" applyNumberFormat="1" applyFont="1" applyFill="1" applyBorder="1" applyAlignment="1">
      <alignment vertical="center"/>
    </xf>
    <xf numFmtId="176" fontId="10" fillId="43" borderId="0" xfId="0" applyNumberFormat="1" applyFont="1" applyFill="1" applyBorder="1" applyAlignment="1">
      <alignment vertical="center"/>
    </xf>
    <xf numFmtId="0" fontId="10" fillId="44" borderId="0" xfId="0" applyFont="1" applyFill="1" applyBorder="1" applyAlignment="1">
      <alignment vertical="center"/>
    </xf>
    <xf numFmtId="0" fontId="128" fillId="14" borderId="0" xfId="0" applyFont="1" applyFill="1">
      <alignment vertical="center"/>
    </xf>
    <xf numFmtId="176" fontId="128" fillId="41" borderId="0" xfId="0" applyNumberFormat="1" applyFont="1" applyFill="1">
      <alignment vertical="center"/>
    </xf>
    <xf numFmtId="176" fontId="128" fillId="13" borderId="0" xfId="0" applyNumberFormat="1" applyFont="1" applyFill="1">
      <alignment vertical="center"/>
    </xf>
    <xf numFmtId="176" fontId="10" fillId="44" borderId="0" xfId="0" applyNumberFormat="1" applyFont="1" applyFill="1" applyBorder="1" applyAlignment="1">
      <alignment vertical="center"/>
    </xf>
    <xf numFmtId="176" fontId="128" fillId="10" borderId="0" xfId="0" applyNumberFormat="1" applyFont="1" applyFill="1" applyAlignment="1">
      <alignment horizontal="right" vertical="center"/>
    </xf>
    <xf numFmtId="0" fontId="128" fillId="10" borderId="0" xfId="0" applyFont="1" applyFill="1" applyAlignment="1">
      <alignment horizontal="right" vertical="center"/>
    </xf>
    <xf numFmtId="179" fontId="128" fillId="12" borderId="0" xfId="0" applyNumberFormat="1" applyFont="1" applyFill="1" applyAlignment="1">
      <alignment horizontal="right" vertical="center"/>
    </xf>
    <xf numFmtId="176" fontId="128" fillId="39" borderId="0" xfId="0" applyNumberFormat="1" applyFont="1" applyFill="1">
      <alignment vertical="center"/>
    </xf>
    <xf numFmtId="176" fontId="0" fillId="0" borderId="0" xfId="0" applyNumberFormat="1">
      <alignment vertical="center"/>
    </xf>
    <xf numFmtId="178" fontId="128" fillId="39" borderId="0" xfId="0" applyNumberFormat="1" applyFont="1" applyFill="1">
      <alignment vertical="center"/>
    </xf>
    <xf numFmtId="178" fontId="128" fillId="14" borderId="0" xfId="0" applyNumberFormat="1" applyFont="1" applyFill="1">
      <alignment vertical="center"/>
    </xf>
    <xf numFmtId="176" fontId="128" fillId="14" borderId="0" xfId="0" applyNumberFormat="1" applyFont="1" applyFill="1">
      <alignment vertical="center"/>
    </xf>
    <xf numFmtId="177" fontId="128" fillId="13" borderId="0" xfId="0" applyNumberFormat="1" applyFont="1" applyFill="1">
      <alignment vertical="center"/>
    </xf>
    <xf numFmtId="0" fontId="10" fillId="9" borderId="0" xfId="0" applyFont="1" applyFill="1" applyBorder="1" applyAlignment="1">
      <alignment vertical="center"/>
    </xf>
    <xf numFmtId="0" fontId="128" fillId="41" borderId="0" xfId="0" applyFont="1" applyFill="1">
      <alignment vertical="center"/>
    </xf>
    <xf numFmtId="176" fontId="128" fillId="14" borderId="0" xfId="0" applyNumberFormat="1" applyFont="1" applyFill="1" applyAlignment="1">
      <alignment horizontal="right" vertical="center"/>
    </xf>
    <xf numFmtId="177" fontId="128" fillId="14" borderId="0" xfId="0" applyNumberFormat="1" applyFont="1" applyFill="1">
      <alignment vertical="center"/>
    </xf>
    <xf numFmtId="177" fontId="128" fillId="13" borderId="0" xfId="0" applyNumberFormat="1" applyFont="1" applyFill="1" applyBorder="1">
      <alignment vertical="center"/>
    </xf>
    <xf numFmtId="177" fontId="10" fillId="40"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6" xfId="0" applyFont="1" applyBorder="1">
      <alignment vertical="center"/>
    </xf>
    <xf numFmtId="0" fontId="2" fillId="46" borderId="16" xfId="0" applyFont="1" applyFill="1" applyBorder="1">
      <alignment vertical="center"/>
    </xf>
    <xf numFmtId="0" fontId="2" fillId="0" borderId="0" xfId="0" applyFont="1" applyBorder="1">
      <alignment vertical="center"/>
    </xf>
    <xf numFmtId="0" fontId="2" fillId="0" borderId="17" xfId="0" applyFont="1" applyBorder="1">
      <alignment vertical="center"/>
    </xf>
    <xf numFmtId="0" fontId="2" fillId="46" borderId="18" xfId="0" applyFont="1" applyFill="1" applyBorder="1">
      <alignment vertical="center"/>
    </xf>
    <xf numFmtId="0" fontId="2" fillId="46" borderId="19" xfId="0" applyFont="1" applyFill="1" applyBorder="1">
      <alignment vertical="center"/>
    </xf>
    <xf numFmtId="0" fontId="2" fillId="46" borderId="17" xfId="0" applyFont="1" applyFill="1" applyBorder="1">
      <alignment vertical="center"/>
    </xf>
    <xf numFmtId="179" fontId="128" fillId="47" borderId="0" xfId="0" applyNumberFormat="1" applyFont="1" applyFill="1" applyAlignment="1">
      <alignment horizontal="right" vertical="center"/>
    </xf>
    <xf numFmtId="0" fontId="128" fillId="47" borderId="0" xfId="0" applyFont="1" applyFill="1">
      <alignment vertical="center"/>
    </xf>
    <xf numFmtId="178" fontId="128" fillId="47" borderId="0" xfId="0" applyNumberFormat="1" applyFont="1" applyFill="1">
      <alignment vertical="center"/>
    </xf>
    <xf numFmtId="179" fontId="10" fillId="47" borderId="0" xfId="0" applyNumberFormat="1" applyFont="1" applyFill="1" applyAlignment="1">
      <alignment vertical="center"/>
    </xf>
    <xf numFmtId="0" fontId="9" fillId="47" borderId="0" xfId="0" applyFont="1" applyFill="1">
      <alignment vertical="center"/>
    </xf>
    <xf numFmtId="178" fontId="10" fillId="47" borderId="0" xfId="0" applyNumberFormat="1" applyFont="1" applyFill="1">
      <alignment vertical="center"/>
    </xf>
    <xf numFmtId="0" fontId="14" fillId="47" borderId="0" xfId="0" applyFont="1" applyFill="1" applyBorder="1" applyAlignment="1">
      <alignment vertical="top"/>
    </xf>
    <xf numFmtId="179" fontId="14" fillId="47" borderId="0" xfId="0" applyNumberFormat="1" applyFont="1" applyFill="1" applyBorder="1" applyAlignment="1">
      <alignment vertical="top"/>
    </xf>
    <xf numFmtId="178" fontId="14" fillId="47" borderId="0" xfId="0" applyNumberFormat="1" applyFont="1" applyFill="1" applyBorder="1" applyAlignment="1">
      <alignment vertical="top"/>
    </xf>
    <xf numFmtId="0" fontId="14" fillId="47"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36" fillId="14" borderId="0" xfId="0" applyNumberFormat="1" applyFont="1" applyFill="1">
      <alignment vertical="center"/>
    </xf>
    <xf numFmtId="178" fontId="35" fillId="14" borderId="0" xfId="0" applyNumberFormat="1" applyFont="1" applyFill="1" applyBorder="1" applyAlignment="1">
      <alignment vertical="top"/>
    </xf>
    <xf numFmtId="179" fontId="35" fillId="40" borderId="0" xfId="0" applyNumberFormat="1" applyFont="1" applyFill="1" applyBorder="1" applyAlignment="1">
      <alignment vertical="top"/>
    </xf>
    <xf numFmtId="178" fontId="35" fillId="40" borderId="0" xfId="0" applyNumberFormat="1" applyFont="1" applyFill="1" applyBorder="1" applyAlignment="1">
      <alignment vertical="top"/>
    </xf>
    <xf numFmtId="179" fontId="14" fillId="40" borderId="0" xfId="0" applyNumberFormat="1" applyFont="1" applyFill="1" applyBorder="1" applyAlignment="1">
      <alignment vertical="top"/>
    </xf>
    <xf numFmtId="178" fontId="14" fillId="40" borderId="0" xfId="0" applyNumberFormat="1" applyFont="1" applyFill="1" applyBorder="1" applyAlignment="1">
      <alignment vertical="top"/>
    </xf>
    <xf numFmtId="0" fontId="35" fillId="47" borderId="0" xfId="0" applyNumberFormat="1" applyFont="1" applyFill="1" applyBorder="1" applyAlignment="1">
      <alignment vertical="top"/>
    </xf>
    <xf numFmtId="178" fontId="35" fillId="47" borderId="0" xfId="0" applyNumberFormat="1" applyFont="1" applyFill="1" applyBorder="1" applyAlignment="1">
      <alignment vertical="top"/>
    </xf>
    <xf numFmtId="0" fontId="35" fillId="47" borderId="0" xfId="0" applyNumberFormat="1" applyFont="1" applyFill="1" applyAlignment="1">
      <alignment vertical="top"/>
    </xf>
    <xf numFmtId="178" fontId="35" fillId="47" borderId="0" xfId="0" applyNumberFormat="1" applyFont="1" applyFill="1" applyAlignment="1">
      <alignment vertical="top"/>
    </xf>
    <xf numFmtId="0" fontId="14" fillId="47" borderId="0" xfId="0" applyNumberFormat="1" applyFont="1" applyFill="1" applyAlignment="1">
      <alignment vertical="top"/>
    </xf>
    <xf numFmtId="178" fontId="14" fillId="47" borderId="0" xfId="0" applyNumberFormat="1" applyFont="1" applyFill="1" applyAlignment="1">
      <alignment vertical="top"/>
    </xf>
    <xf numFmtId="0" fontId="35" fillId="40" borderId="0" xfId="0" applyFont="1" applyFill="1" applyBorder="1" applyAlignment="1">
      <alignment vertical="top"/>
    </xf>
    <xf numFmtId="0" fontId="14" fillId="40" borderId="0" xfId="0" applyFont="1" applyFill="1" applyBorder="1" applyAlignment="1">
      <alignment vertical="top"/>
    </xf>
    <xf numFmtId="0" fontId="35" fillId="47" borderId="0" xfId="0" applyFont="1" applyFill="1" applyBorder="1" applyAlignment="1">
      <alignment vertical="top"/>
    </xf>
    <xf numFmtId="179" fontId="35" fillId="47" borderId="0" xfId="0" applyNumberFormat="1" applyFont="1" applyFill="1" applyBorder="1" applyAlignment="1">
      <alignment vertical="top"/>
    </xf>
    <xf numFmtId="0" fontId="4" fillId="0" borderId="0" xfId="0" applyFont="1" applyBorder="1">
      <alignment vertical="center"/>
    </xf>
    <xf numFmtId="0" fontId="1" fillId="5" borderId="12" xfId="4" applyNumberFormat="1" applyBorder="1" applyAlignment="1">
      <alignment vertical="top"/>
    </xf>
    <xf numFmtId="0" fontId="14" fillId="0" borderId="12" xfId="0" applyNumberFormat="1" applyFont="1" applyFill="1" applyBorder="1" applyAlignment="1">
      <alignment vertical="top"/>
    </xf>
    <xf numFmtId="0" fontId="1" fillId="5" borderId="12" xfId="4" applyBorder="1" applyAlignment="1">
      <alignment vertical="top"/>
    </xf>
    <xf numFmtId="0" fontId="14" fillId="0" borderId="12" xfId="0" applyFont="1" applyFill="1" applyBorder="1" applyAlignment="1">
      <alignment vertical="top"/>
    </xf>
    <xf numFmtId="0" fontId="4" fillId="45" borderId="12" xfId="0" applyFont="1" applyFill="1" applyBorder="1">
      <alignment vertical="center"/>
    </xf>
    <xf numFmtId="0" fontId="1" fillId="45" borderId="12" xfId="4" applyFill="1" applyBorder="1">
      <alignment vertical="center"/>
    </xf>
    <xf numFmtId="0" fontId="1" fillId="3" borderId="12" xfId="2" applyBorder="1">
      <alignment vertical="center"/>
    </xf>
    <xf numFmtId="0" fontId="0" fillId="3" borderId="12" xfId="2" applyFont="1" applyBorder="1">
      <alignment vertical="center"/>
    </xf>
    <xf numFmtId="0" fontId="4" fillId="0" borderId="0" xfId="0" applyFont="1" applyAlignment="1">
      <alignment horizontal="right" vertical="center"/>
    </xf>
    <xf numFmtId="0" fontId="137" fillId="6" borderId="12" xfId="5" applyFont="1" applyBorder="1" applyAlignment="1">
      <alignment vertical="center" wrapText="1"/>
    </xf>
    <xf numFmtId="0" fontId="138" fillId="6" borderId="12" xfId="5" applyFont="1" applyBorder="1" applyAlignment="1">
      <alignment vertical="center" wrapText="1"/>
    </xf>
    <xf numFmtId="0" fontId="4" fillId="0" borderId="12" xfId="0" applyFont="1" applyBorder="1" applyAlignment="1">
      <alignment horizontal="right" vertical="center"/>
    </xf>
    <xf numFmtId="0" fontId="4" fillId="46" borderId="12" xfId="0" applyFont="1" applyFill="1" applyBorder="1">
      <alignment vertical="center"/>
    </xf>
    <xf numFmtId="0" fontId="4" fillId="46" borderId="12" xfId="0" applyFont="1" applyFill="1" applyBorder="1" applyAlignment="1">
      <alignment horizontal="right" vertical="center"/>
    </xf>
    <xf numFmtId="0" fontId="128" fillId="35" borderId="0" xfId="0" applyFont="1" applyFill="1" applyBorder="1">
      <alignment vertical="center"/>
    </xf>
    <xf numFmtId="0" fontId="128" fillId="14" borderId="0" xfId="0" applyFont="1" applyFill="1" applyBorder="1">
      <alignment vertical="center"/>
    </xf>
    <xf numFmtId="0" fontId="128" fillId="36" borderId="0" xfId="0" applyFont="1" applyFill="1" applyBorder="1">
      <alignment vertical="center"/>
    </xf>
    <xf numFmtId="0" fontId="128" fillId="33" borderId="0" xfId="0" applyFont="1" applyFill="1" applyBorder="1">
      <alignment vertical="center"/>
    </xf>
    <xf numFmtId="0" fontId="128" fillId="37" borderId="0" xfId="0" applyFont="1" applyFill="1" applyBorder="1">
      <alignment vertical="center"/>
    </xf>
    <xf numFmtId="0" fontId="0" fillId="0" borderId="0" xfId="0" applyBorder="1">
      <alignment vertical="center"/>
    </xf>
    <xf numFmtId="0" fontId="106" fillId="0" borderId="12" xfId="0" applyFont="1" applyBorder="1">
      <alignment vertical="center"/>
    </xf>
    <xf numFmtId="0" fontId="92" fillId="0" borderId="12" xfId="0" applyFont="1" applyFill="1" applyBorder="1" applyAlignment="1">
      <alignment vertical="top"/>
    </xf>
    <xf numFmtId="0" fontId="107" fillId="0" borderId="12" xfId="0" applyFont="1" applyBorder="1">
      <alignment vertical="center"/>
    </xf>
    <xf numFmtId="0" fontId="90" fillId="0" borderId="12" xfId="0" applyFont="1" applyFill="1" applyBorder="1" applyAlignment="1">
      <alignment vertical="top"/>
    </xf>
    <xf numFmtId="0" fontId="105" fillId="0" borderId="12" xfId="0" applyFont="1" applyBorder="1">
      <alignment vertical="center"/>
    </xf>
    <xf numFmtId="0" fontId="73" fillId="0" borderId="12" xfId="0" applyFont="1" applyFill="1" applyBorder="1" applyAlignment="1">
      <alignment vertical="top"/>
    </xf>
    <xf numFmtId="0" fontId="126" fillId="0" borderId="12" xfId="0" applyFont="1" applyBorder="1">
      <alignment vertical="center"/>
    </xf>
    <xf numFmtId="0" fontId="86" fillId="0" borderId="12" xfId="0" applyFont="1" applyFill="1" applyBorder="1" applyAlignment="1">
      <alignment vertical="top"/>
    </xf>
    <xf numFmtId="0" fontId="83" fillId="0" borderId="12" xfId="0" applyFont="1" applyBorder="1">
      <alignment vertical="center"/>
    </xf>
    <xf numFmtId="0" fontId="84" fillId="0" borderId="12" xfId="0" applyFont="1" applyFill="1" applyBorder="1" applyAlignment="1">
      <alignment vertical="top"/>
    </xf>
    <xf numFmtId="0" fontId="104" fillId="0" borderId="12" xfId="0" applyFont="1" applyBorder="1">
      <alignment vertical="center"/>
    </xf>
    <xf numFmtId="0" fontId="80" fillId="0" borderId="12" xfId="0" applyFont="1" applyFill="1" applyBorder="1">
      <alignment vertical="center"/>
    </xf>
    <xf numFmtId="0" fontId="127" fillId="0" borderId="12" xfId="0" applyFont="1" applyBorder="1">
      <alignment vertical="center"/>
    </xf>
    <xf numFmtId="0" fontId="76" fillId="0" borderId="12" xfId="6" applyFont="1" applyBorder="1" applyAlignment="1">
      <alignment vertical="top"/>
    </xf>
    <xf numFmtId="0" fontId="128" fillId="34" borderId="20" xfId="0" applyFont="1" applyFill="1" applyBorder="1">
      <alignment vertical="center"/>
    </xf>
    <xf numFmtId="0" fontId="10" fillId="34" borderId="20" xfId="0" applyFont="1" applyFill="1" applyBorder="1">
      <alignment vertical="center"/>
    </xf>
    <xf numFmtId="0" fontId="2" fillId="0" borderId="20" xfId="0" applyFont="1" applyBorder="1">
      <alignment vertical="center"/>
    </xf>
    <xf numFmtId="0" fontId="128" fillId="36" borderId="20" xfId="0" applyFont="1" applyFill="1" applyBorder="1">
      <alignment vertical="center"/>
    </xf>
    <xf numFmtId="0" fontId="10" fillId="36" borderId="20" xfId="0" applyFont="1" applyFill="1" applyBorder="1">
      <alignment vertical="center"/>
    </xf>
    <xf numFmtId="0" fontId="128" fillId="33" borderId="20" xfId="0" applyFont="1" applyFill="1" applyBorder="1">
      <alignment vertical="center"/>
    </xf>
    <xf numFmtId="0" fontId="10" fillId="33" borderId="20" xfId="0" applyFont="1" applyFill="1" applyBorder="1">
      <alignment vertical="center"/>
    </xf>
    <xf numFmtId="0" fontId="128" fillId="37" borderId="20" xfId="0" applyFont="1" applyFill="1" applyBorder="1">
      <alignment vertical="center"/>
    </xf>
    <xf numFmtId="0" fontId="10" fillId="37" borderId="20" xfId="0" applyFont="1" applyFill="1" applyBorder="1">
      <alignment vertical="center"/>
    </xf>
    <xf numFmtId="177" fontId="128" fillId="34" borderId="0" xfId="0" applyNumberFormat="1" applyFont="1" applyFill="1" applyBorder="1">
      <alignment vertical="center"/>
    </xf>
    <xf numFmtId="177" fontId="10" fillId="34" borderId="0" xfId="0" applyNumberFormat="1" applyFont="1" applyFill="1" applyBorder="1">
      <alignment vertical="center"/>
    </xf>
    <xf numFmtId="177" fontId="128" fillId="36" borderId="0" xfId="0" applyNumberFormat="1" applyFont="1" applyFill="1" applyBorder="1">
      <alignment vertical="center"/>
    </xf>
    <xf numFmtId="177" fontId="10" fillId="36" borderId="0" xfId="0" applyNumberFormat="1" applyFont="1" applyFill="1" applyBorder="1">
      <alignment vertical="center"/>
    </xf>
    <xf numFmtId="177" fontId="128" fillId="33" borderId="0" xfId="0" applyNumberFormat="1" applyFont="1" applyFill="1" applyBorder="1">
      <alignment vertical="center"/>
    </xf>
    <xf numFmtId="177" fontId="10" fillId="33" borderId="0" xfId="0" applyNumberFormat="1" applyFont="1" applyFill="1" applyBorder="1">
      <alignment vertical="center"/>
    </xf>
    <xf numFmtId="177" fontId="128" fillId="37" borderId="0" xfId="0" applyNumberFormat="1" applyFont="1" applyFill="1" applyBorder="1">
      <alignment vertical="center"/>
    </xf>
    <xf numFmtId="177" fontId="10" fillId="37" borderId="0" xfId="0" applyNumberFormat="1" applyFont="1" applyFill="1" applyBorder="1">
      <alignment vertical="center"/>
    </xf>
    <xf numFmtId="182" fontId="128" fillId="34" borderId="0" xfId="0" applyNumberFormat="1" applyFont="1" applyFill="1" applyBorder="1">
      <alignment vertical="center"/>
    </xf>
    <xf numFmtId="182" fontId="10" fillId="34" borderId="0" xfId="0" applyNumberFormat="1" applyFont="1" applyFill="1" applyBorder="1">
      <alignment vertical="center"/>
    </xf>
    <xf numFmtId="182" fontId="2" fillId="0" borderId="0" xfId="0" applyNumberFormat="1" applyFont="1">
      <alignment vertical="center"/>
    </xf>
    <xf numFmtId="182" fontId="128" fillId="36" borderId="0" xfId="0" applyNumberFormat="1" applyFont="1" applyFill="1" applyBorder="1">
      <alignment vertical="center"/>
    </xf>
    <xf numFmtId="182" fontId="10" fillId="36" borderId="0" xfId="0" applyNumberFormat="1" applyFont="1" applyFill="1" applyBorder="1">
      <alignment vertical="center"/>
    </xf>
    <xf numFmtId="182" fontId="128" fillId="33" borderId="0" xfId="0" applyNumberFormat="1" applyFont="1" applyFill="1" applyBorder="1">
      <alignment vertical="center"/>
    </xf>
    <xf numFmtId="182" fontId="10" fillId="33" borderId="0" xfId="0" applyNumberFormat="1" applyFont="1" applyFill="1" applyBorder="1">
      <alignment vertical="center"/>
    </xf>
    <xf numFmtId="182" fontId="128" fillId="37" borderId="0" xfId="0" applyNumberFormat="1" applyFont="1" applyFill="1" applyBorder="1">
      <alignment vertical="center"/>
    </xf>
    <xf numFmtId="182" fontId="10" fillId="37" borderId="0" xfId="0" applyNumberFormat="1" applyFont="1" applyFill="1" applyBorder="1">
      <alignment vertical="center"/>
    </xf>
    <xf numFmtId="0" fontId="4" fillId="46" borderId="16" xfId="0" applyFont="1" applyFill="1" applyBorder="1" applyAlignment="1">
      <alignment horizontal="center" vertical="center"/>
    </xf>
    <xf numFmtId="0" fontId="4" fillId="0" borderId="16" xfId="0" applyFont="1" applyFill="1" applyBorder="1">
      <alignment vertical="center"/>
    </xf>
    <xf numFmtId="0" fontId="4" fillId="0" borderId="16" xfId="0" applyFont="1" applyFill="1" applyBorder="1" applyAlignment="1">
      <alignment horizontal="center" vertical="center"/>
    </xf>
    <xf numFmtId="0" fontId="4" fillId="46" borderId="16" xfId="0" applyFont="1" applyFill="1" applyBorder="1">
      <alignment vertical="center"/>
    </xf>
    <xf numFmtId="0" fontId="35" fillId="14" borderId="21" xfId="0" applyNumberFormat="1" applyFont="1" applyFill="1" applyBorder="1" applyAlignment="1">
      <alignment vertical="top"/>
    </xf>
    <xf numFmtId="0" fontId="14" fillId="14" borderId="21" xfId="0" applyNumberFormat="1" applyFont="1" applyFill="1" applyBorder="1" applyAlignment="1">
      <alignment vertical="top"/>
    </xf>
    <xf numFmtId="0" fontId="14" fillId="0" borderId="21" xfId="0" applyNumberFormat="1" applyFont="1" applyFill="1" applyBorder="1" applyAlignment="1">
      <alignment vertical="top"/>
    </xf>
    <xf numFmtId="0" fontId="35" fillId="47" borderId="21" xfId="0" applyNumberFormat="1" applyFont="1" applyFill="1" applyBorder="1" applyAlignment="1">
      <alignment vertical="top"/>
    </xf>
    <xf numFmtId="0" fontId="14" fillId="47" borderId="21" xfId="0" applyNumberFormat="1" applyFont="1" applyFill="1" applyBorder="1" applyAlignment="1">
      <alignment vertical="top"/>
    </xf>
    <xf numFmtId="178" fontId="35" fillId="13" borderId="21" xfId="0" applyNumberFormat="1" applyFont="1" applyFill="1" applyBorder="1" applyAlignment="1">
      <alignment horizontal="center" vertical="top"/>
    </xf>
    <xf numFmtId="178" fontId="35" fillId="0" borderId="21" xfId="0" applyNumberFormat="1" applyFont="1" applyFill="1" applyBorder="1" applyAlignment="1">
      <alignment horizontal="center" vertical="top"/>
    </xf>
    <xf numFmtId="178" fontId="70" fillId="0" borderId="21" xfId="0" applyNumberFormat="1" applyFont="1" applyFill="1" applyBorder="1" applyAlignment="1">
      <alignment horizontal="center" vertical="top"/>
    </xf>
    <xf numFmtId="0" fontId="35" fillId="40" borderId="21" xfId="0" applyFont="1" applyFill="1" applyBorder="1" applyAlignment="1">
      <alignment vertical="top"/>
    </xf>
    <xf numFmtId="0" fontId="14" fillId="40" borderId="21" xfId="0" applyFont="1" applyFill="1" applyBorder="1" applyAlignment="1">
      <alignment vertical="top"/>
    </xf>
    <xf numFmtId="0" fontId="14" fillId="0" borderId="21" xfId="0" applyFont="1" applyFill="1" applyBorder="1" applyAlignment="1">
      <alignment vertical="top"/>
    </xf>
    <xf numFmtId="0" fontId="35" fillId="47" borderId="21" xfId="0" applyFont="1" applyFill="1" applyBorder="1" applyAlignment="1">
      <alignment vertical="top"/>
    </xf>
    <xf numFmtId="0" fontId="14" fillId="47" borderId="21" xfId="0" applyFont="1" applyFill="1" applyBorder="1" applyAlignment="1">
      <alignment vertical="top"/>
    </xf>
    <xf numFmtId="179" fontId="35" fillId="13" borderId="21" xfId="0" applyNumberFormat="1" applyFont="1" applyFill="1" applyBorder="1" applyAlignment="1">
      <alignment horizontal="center" vertical="top"/>
    </xf>
    <xf numFmtId="179" fontId="35" fillId="0" borderId="21" xfId="0" applyNumberFormat="1" applyFont="1" applyFill="1" applyBorder="1" applyAlignment="1">
      <alignment horizontal="center" vertical="top"/>
    </xf>
    <xf numFmtId="179" fontId="70" fillId="0" borderId="21" xfId="0" applyNumberFormat="1" applyFont="1" applyFill="1" applyBorder="1" applyAlignment="1">
      <alignment horizontal="center" vertical="top"/>
    </xf>
    <xf numFmtId="0" fontId="14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42" fillId="0" borderId="0" xfId="0" applyNumberFormat="1" applyFont="1" applyAlignment="1">
      <alignment vertical="top" wrapText="1"/>
    </xf>
    <xf numFmtId="0" fontId="143" fillId="0" borderId="0" xfId="0" applyFont="1" applyAlignment="1">
      <alignment vertical="top" wrapText="1"/>
    </xf>
    <xf numFmtId="0" fontId="143" fillId="0" borderId="0" xfId="0" applyFont="1">
      <alignment vertical="center"/>
    </xf>
    <xf numFmtId="0" fontId="143" fillId="46" borderId="17"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44" fillId="0" borderId="0" xfId="0" applyFont="1" applyAlignment="1">
      <alignment vertical="top"/>
    </xf>
    <xf numFmtId="176" fontId="53" fillId="0" borderId="0" xfId="0" applyNumberFormat="1" applyFont="1">
      <alignment vertical="center"/>
    </xf>
    <xf numFmtId="176" fontId="60" fillId="0" borderId="0" xfId="0" applyNumberFormat="1" applyFont="1">
      <alignment vertical="center"/>
    </xf>
    <xf numFmtId="0" fontId="156" fillId="10" borderId="0" xfId="0" applyFont="1" applyFill="1" applyBorder="1" applyAlignment="1">
      <alignment vertical="center"/>
    </xf>
    <xf numFmtId="0" fontId="66" fillId="0" borderId="0" xfId="0" applyFont="1" applyFill="1" applyBorder="1">
      <alignment vertical="center"/>
    </xf>
    <xf numFmtId="0" fontId="9" fillId="0" borderId="0" xfId="0" applyFont="1" applyBorder="1">
      <alignment vertical="center"/>
    </xf>
    <xf numFmtId="182" fontId="2" fillId="0" borderId="0" xfId="0" applyNumberFormat="1" applyFont="1" applyBorder="1">
      <alignment vertical="center"/>
    </xf>
    <xf numFmtId="0" fontId="38" fillId="0" borderId="0" xfId="0" applyFont="1" applyBorder="1">
      <alignment vertical="center"/>
    </xf>
    <xf numFmtId="0" fontId="40" fillId="0" borderId="0" xfId="0" applyFont="1" applyBorder="1">
      <alignment vertical="center"/>
    </xf>
    <xf numFmtId="0" fontId="41" fillId="0" borderId="0" xfId="0" applyFont="1" applyBorder="1">
      <alignment vertical="center"/>
    </xf>
    <xf numFmtId="0" fontId="168" fillId="0" borderId="20" xfId="0" applyFont="1" applyBorder="1">
      <alignment vertical="center"/>
    </xf>
    <xf numFmtId="0" fontId="4" fillId="0" borderId="17" xfId="0" applyFont="1" applyBorder="1">
      <alignment vertical="center"/>
    </xf>
    <xf numFmtId="0" fontId="4" fillId="46" borderId="17" xfId="0" applyFont="1" applyFill="1" applyBorder="1">
      <alignment vertical="center"/>
    </xf>
    <xf numFmtId="0" fontId="4" fillId="0" borderId="22" xfId="0" applyFont="1" applyFill="1" applyBorder="1">
      <alignment vertical="center"/>
    </xf>
    <xf numFmtId="0" fontId="66" fillId="0" borderId="22" xfId="0" applyFont="1" applyFill="1" applyBorder="1">
      <alignment vertical="center"/>
    </xf>
    <xf numFmtId="0" fontId="2" fillId="0" borderId="23" xfId="0" applyFont="1" applyBorder="1">
      <alignment vertical="center"/>
    </xf>
    <xf numFmtId="0" fontId="9" fillId="0" borderId="22" xfId="0" applyFont="1" applyBorder="1">
      <alignment vertical="center"/>
    </xf>
    <xf numFmtId="177" fontId="2" fillId="0" borderId="22" xfId="0" applyNumberFormat="1" applyFont="1" applyBorder="1">
      <alignment vertical="center"/>
    </xf>
    <xf numFmtId="182" fontId="2" fillId="0" borderId="22" xfId="0" applyNumberFormat="1" applyFont="1" applyBorder="1">
      <alignment vertical="center"/>
    </xf>
    <xf numFmtId="0" fontId="2" fillId="0" borderId="22" xfId="0" applyFont="1" applyBorder="1">
      <alignment vertical="center"/>
    </xf>
    <xf numFmtId="0" fontId="165" fillId="0" borderId="0" xfId="0" applyFont="1">
      <alignment vertical="center"/>
    </xf>
    <xf numFmtId="0" fontId="167" fillId="0" borderId="0" xfId="0" applyFont="1">
      <alignment vertical="center"/>
    </xf>
    <xf numFmtId="0" fontId="166" fillId="0" borderId="0" xfId="0" applyFont="1">
      <alignment vertical="center"/>
    </xf>
    <xf numFmtId="0" fontId="168" fillId="0" borderId="23" xfId="0" applyFont="1" applyBorder="1">
      <alignment vertical="center"/>
    </xf>
    <xf numFmtId="0" fontId="41" fillId="0" borderId="22" xfId="0" applyFont="1" applyBorder="1">
      <alignment vertical="center"/>
    </xf>
    <xf numFmtId="0" fontId="40" fillId="0" borderId="22" xfId="0" applyFont="1" applyBorder="1">
      <alignment vertical="center"/>
    </xf>
    <xf numFmtId="0" fontId="38" fillId="0" borderId="22" xfId="0" applyFont="1" applyBorder="1">
      <alignment vertical="center"/>
    </xf>
    <xf numFmtId="0" fontId="60" fillId="0" borderId="0" xfId="0" applyFont="1" applyFill="1" applyBorder="1">
      <alignment vertical="center"/>
    </xf>
    <xf numFmtId="0" fontId="60" fillId="0" borderId="22" xfId="0" applyFont="1" applyFill="1" applyBorder="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43" fillId="0" borderId="0" xfId="0" applyNumberFormat="1" applyFont="1" applyAlignment="1">
      <alignment vertical="top" wrapText="1"/>
    </xf>
    <xf numFmtId="14" fontId="4" fillId="0" borderId="0" xfId="0" applyNumberFormat="1" applyFont="1" applyAlignment="1">
      <alignment vertical="top" wrapText="1"/>
    </xf>
    <xf numFmtId="0" fontId="16" fillId="0" borderId="0" xfId="0" applyNumberFormat="1" applyFont="1" applyFill="1" applyAlignment="1">
      <alignment vertical="top"/>
    </xf>
    <xf numFmtId="0" fontId="16" fillId="0" borderId="0" xfId="0" applyFont="1" applyFill="1" applyBorder="1" applyAlignment="1">
      <alignment vertical="top"/>
    </xf>
    <xf numFmtId="179" fontId="14" fillId="0" borderId="24" xfId="0" applyNumberFormat="1" applyFont="1" applyFill="1" applyBorder="1" applyAlignment="1">
      <alignment vertical="top"/>
    </xf>
    <xf numFmtId="0" fontId="14" fillId="0" borderId="24" xfId="0" applyNumberFormat="1" applyFont="1" applyFill="1" applyBorder="1" applyAlignment="1">
      <alignment vertical="top"/>
    </xf>
    <xf numFmtId="0" fontId="14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78" fillId="0" borderId="0" xfId="0" applyFont="1" applyFill="1" applyBorder="1" applyAlignment="1">
      <alignment vertical="center" textRotation="255" wrapText="1"/>
    </xf>
    <xf numFmtId="0" fontId="15" fillId="0" borderId="24" xfId="0" applyFont="1" applyFill="1" applyBorder="1" applyAlignment="1">
      <alignment vertical="top"/>
    </xf>
    <xf numFmtId="0" fontId="18" fillId="0" borderId="24" xfId="0" applyFont="1" applyFill="1" applyBorder="1" applyAlignment="1">
      <alignment vertical="top"/>
    </xf>
    <xf numFmtId="0" fontId="4" fillId="0" borderId="25" xfId="0" applyFont="1" applyFill="1" applyBorder="1">
      <alignment vertical="center"/>
    </xf>
    <xf numFmtId="0" fontId="10" fillId="0" borderId="25" xfId="0" applyFont="1" applyFill="1" applyBorder="1">
      <alignment vertical="center"/>
    </xf>
    <xf numFmtId="0" fontId="66" fillId="0" borderId="25" xfId="0" applyFont="1" applyFill="1" applyBorder="1">
      <alignment vertical="center"/>
    </xf>
    <xf numFmtId="0" fontId="0" fillId="0" borderId="25" xfId="0" applyBorder="1">
      <alignment vertical="center"/>
    </xf>
    <xf numFmtId="0" fontId="137" fillId="0" borderId="25" xfId="0" applyFont="1" applyBorder="1">
      <alignment vertical="center"/>
    </xf>
    <xf numFmtId="0" fontId="117" fillId="0" borderId="25" xfId="0" applyFont="1" applyBorder="1">
      <alignment vertical="center"/>
    </xf>
    <xf numFmtId="177" fontId="0" fillId="0" borderId="25" xfId="0" applyNumberFormat="1" applyBorder="1">
      <alignment vertical="center"/>
    </xf>
    <xf numFmtId="182" fontId="0" fillId="0" borderId="25" xfId="0" applyNumberFormat="1" applyBorder="1">
      <alignment vertical="center"/>
    </xf>
    <xf numFmtId="0" fontId="139" fillId="0" borderId="25" xfId="0" applyFont="1" applyBorder="1">
      <alignment vertical="center"/>
    </xf>
    <xf numFmtId="0" fontId="109" fillId="0" borderId="25" xfId="0" applyFont="1" applyBorder="1">
      <alignment vertical="center"/>
    </xf>
    <xf numFmtId="0" fontId="164" fillId="0" borderId="25" xfId="0" applyFont="1" applyBorder="1">
      <alignment vertical="center"/>
    </xf>
    <xf numFmtId="0" fontId="140" fillId="0" borderId="25" xfId="0" applyFont="1" applyBorder="1">
      <alignment vertical="center"/>
    </xf>
    <xf numFmtId="0" fontId="122" fillId="0" borderId="25" xfId="0" applyFont="1" applyBorder="1">
      <alignment vertical="center"/>
    </xf>
    <xf numFmtId="0" fontId="108" fillId="0" borderId="25" xfId="0" applyFont="1" applyBorder="1">
      <alignment vertical="center"/>
    </xf>
    <xf numFmtId="0" fontId="50" fillId="0" borderId="25" xfId="0" applyFont="1" applyFill="1" applyBorder="1">
      <alignment vertical="center"/>
    </xf>
    <xf numFmtId="0" fontId="67" fillId="0" borderId="25" xfId="0" applyFont="1" applyFill="1" applyBorder="1">
      <alignment vertical="center"/>
    </xf>
    <xf numFmtId="0" fontId="124" fillId="0" borderId="25" xfId="0" applyFont="1" applyBorder="1">
      <alignment vertical="center"/>
    </xf>
    <xf numFmtId="0" fontId="115" fillId="0" borderId="25" xfId="0" applyFont="1" applyBorder="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291">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font>
        <color rgb="FF585365"/>
      </font>
    </dxf>
    <dxf>
      <numFmt numFmtId="177" formatCode="0.0_);[Red]\(0.0\)"/>
    </dxf>
    <dxf>
      <font>
        <color rgb="FF585365"/>
      </font>
    </dxf>
    <dxf>
      <font>
        <color auto="1"/>
      </font>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rgb="FF90AADE"/>
        <name val="メイリオ"/>
        <scheme val="minor"/>
      </font>
      <fill>
        <patternFill patternType="none">
          <fgColor indexed="64"/>
          <bgColor indexed="65"/>
        </patternFill>
      </fill>
    </dxf>
    <dxf>
      <font>
        <b val="0"/>
        <i val="0"/>
        <strike val="0"/>
        <condense val="0"/>
        <extend val="0"/>
        <outline val="0"/>
        <shadow val="0"/>
        <u val="none"/>
        <vertAlign val="baseline"/>
        <sz val="10"/>
        <color rgb="FF508698"/>
        <name val="メイリオ"/>
        <scheme val="minor"/>
      </font>
      <fill>
        <patternFill patternType="none">
          <fgColor indexed="64"/>
          <bgColor indexed="65"/>
        </patternFill>
      </fill>
    </dxf>
    <dxf>
      <font>
        <b val="0"/>
        <i val="0"/>
        <strike val="0"/>
        <condense val="0"/>
        <extend val="0"/>
        <outline val="0"/>
        <shadow val="0"/>
        <u val="none"/>
        <vertAlign val="baseline"/>
        <sz val="10"/>
        <color auto="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font>
        <color rgb="FF5367A9"/>
      </font>
    </dxf>
    <dxf>
      <numFmt numFmtId="177" formatCode="0.0_);[Red]\(0.0\)"/>
    </dxf>
    <dxf>
      <font>
        <color rgb="FF5367A9"/>
      </font>
    </dxf>
    <dxf>
      <font>
        <color auto="1"/>
      </font>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rgb="FFF3D23F"/>
        <name val="メイリオ"/>
        <scheme val="minor"/>
      </font>
      <fill>
        <patternFill patternType="none">
          <fgColor indexed="64"/>
          <bgColor indexed="65"/>
        </patternFill>
      </fill>
    </dxf>
    <dxf>
      <font>
        <b val="0"/>
        <i val="0"/>
        <strike val="0"/>
        <condense val="0"/>
        <extend val="0"/>
        <outline val="0"/>
        <shadow val="0"/>
        <u val="none"/>
        <vertAlign val="baseline"/>
        <sz val="10"/>
        <color rgb="FFF3D23F"/>
        <name val="メイリオ"/>
        <scheme val="minor"/>
      </font>
      <fill>
        <patternFill patternType="none">
          <fgColor indexed="64"/>
          <bgColor indexed="65"/>
        </patternFill>
      </fill>
    </dxf>
    <dxf>
      <font>
        <b val="0"/>
        <i val="0"/>
        <strike val="0"/>
        <condense val="0"/>
        <extend val="0"/>
        <outline val="0"/>
        <shadow val="0"/>
        <u val="none"/>
        <vertAlign val="baseline"/>
        <sz val="10"/>
        <color auto="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9"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strike val="0"/>
        <outline val="0"/>
        <shadow val="0"/>
        <u val="none"/>
        <vertAlign val="baseline"/>
        <sz val="10"/>
        <name val="メイリオ"/>
        <scheme val="none"/>
      </font>
      <numFmt numFmtId="14" formatCode="0.00%"/>
      <fill>
        <patternFill patternType="none">
          <fgColor indexed="64"/>
          <bgColor auto="1"/>
        </patternFill>
      </fill>
    </dxf>
    <dxf>
      <font>
        <b val="0"/>
        <strike val="0"/>
        <outline val="0"/>
        <shadow val="0"/>
        <u val="none"/>
        <vertAlign val="baseline"/>
        <sz val="10"/>
        <name val="メイリオ"/>
        <scheme val="none"/>
      </font>
      <fill>
        <patternFill patternType="none">
          <fgColor indexed="64"/>
          <bgColor auto="1"/>
        </patternFill>
      </fill>
    </dxf>
    <dxf>
      <font>
        <b val="0"/>
        <strike val="0"/>
        <outline val="0"/>
        <shadow val="0"/>
        <u val="none"/>
        <vertAlign val="baseline"/>
        <sz val="10"/>
        <name val="メイリオ"/>
        <scheme val="none"/>
      </font>
      <fill>
        <patternFill patternType="none">
          <fgColor indexed="64"/>
          <bgColor auto="1"/>
        </patternFill>
      </fill>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1"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fill>
        <patternFill patternType="solid">
          <fgColor indexed="64"/>
          <bgColor rgb="FFE1FFD1"/>
        </patternFill>
      </fill>
    </dxf>
    <dxf>
      <font>
        <b val="0"/>
        <i val="0"/>
        <strike val="0"/>
        <condense val="0"/>
        <extend val="0"/>
        <outline val="0"/>
        <shadow val="0"/>
        <u val="none"/>
        <vertAlign val="baseline"/>
        <sz val="10"/>
        <color auto="1"/>
        <name val="メイリオ"/>
        <scheme val="minor"/>
      </font>
      <fill>
        <patternFill patternType="solid">
          <fgColor indexed="64"/>
          <bgColor rgb="FFE1FFD1"/>
        </patternFill>
      </fill>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FFF0C1"/>
      <color rgb="FFCCFF99"/>
      <color rgb="FFE1FFD1"/>
      <color rgb="FFC6FFB9"/>
      <color rgb="FF99FFCC"/>
      <color rgb="FF66FF99"/>
      <color rgb="FF33CC33"/>
      <color rgb="FF33CCCC"/>
      <color rgb="FF7F7049"/>
      <color rgb="FF9A71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508698"/>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78"/>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79"/>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0"/>
            <c:marker>
              <c:symbol val="circle"/>
              <c:size val="5"/>
              <c:spPr>
                <a:solidFill>
                  <a:srgbClr val="F3D23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1"/>
            <c:marker>
              <c:symbol val="circle"/>
              <c:size val="5"/>
              <c:spPr>
                <a:solidFill>
                  <a:srgbClr val="F3D23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2"/>
            <c:marker>
              <c:symbol val="circle"/>
              <c:size val="5"/>
              <c:spPr>
                <a:solidFill>
                  <a:srgbClr val="5EB654"/>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3"/>
            <c:marker>
              <c:symbol val="circle"/>
              <c:size val="5"/>
              <c:spPr>
                <a:solidFill>
                  <a:srgbClr val="5EB654"/>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4"/>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5"/>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6"/>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7"/>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8"/>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9"/>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0"/>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1"/>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2"/>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3"/>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4"/>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5"/>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6"/>
            <c:marker>
              <c:symbol val="circle"/>
              <c:size val="5"/>
              <c:spPr>
                <a:solidFill>
                  <a:srgbClr val="90BE2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7"/>
            <c:marker>
              <c:symbol val="circle"/>
              <c:size val="5"/>
              <c:spPr>
                <a:solidFill>
                  <a:srgbClr val="90BE2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8"/>
            <c:marker>
              <c:symbol val="circle"/>
              <c:size val="5"/>
              <c:spPr>
                <a:solidFill>
                  <a:srgbClr val="5367A9"/>
                </a:solidFill>
                <a:ln w="25400">
                  <a:solidFill>
                    <a:srgbClr val="D4794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9"/>
            <c:marker>
              <c:symbol val="circle"/>
              <c:size val="5"/>
              <c:spPr>
                <a:solidFill>
                  <a:srgbClr val="5367A9"/>
                </a:solidFill>
                <a:ln w="25400">
                  <a:solidFill>
                    <a:srgbClr val="D4794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0"/>
            <c:marker>
              <c:symbol val="circle"/>
              <c:size val="5"/>
              <c:spPr>
                <a:solidFill>
                  <a:srgbClr val="FF9D54"/>
                </a:solidFill>
                <a:ln w="25400">
                  <a:solidFill>
                    <a:srgbClr val="FF9D54"/>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1"/>
            <c:marker>
              <c:symbol val="circle"/>
              <c:size val="5"/>
              <c:spPr>
                <a:solidFill>
                  <a:srgbClr val="508698"/>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2"/>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3"/>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4"/>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5"/>
            <c:marker>
              <c:symbol val="circle"/>
              <c:size val="5"/>
              <c:spPr>
                <a:solidFill>
                  <a:srgbClr val="508698"/>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6"/>
            <c:marker>
              <c:symbol val="circle"/>
              <c:size val="5"/>
              <c:spPr>
                <a:solidFill>
                  <a:srgbClr val="C4B589"/>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7"/>
            <c:marker>
              <c:symbol val="circle"/>
              <c:size val="5"/>
              <c:spPr>
                <a:solidFill>
                  <a:srgbClr val="5EB654"/>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8"/>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9"/>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Lbls>
            <c:dLbl>
              <c:idx val="0"/>
              <c:layout>
                <c:manualLayout>
                  <c:x val="-1.7120223930143088E-2"/>
                  <c:y val="-8.032541570488238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6.7448970446496906E-2"/>
                  <c:y val="6.90587056195122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1.8260358200170908E-3"/>
                  <c:y val="-1.30808346604877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304640526211635E-2"/>
                  <c:y val="-1.7465338727092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2.855711360246317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2.0660546890538978E-2"/>
                  <c:y val="2.05663357703966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5534662175955902E-2"/>
                  <c:y val="5.41706122969278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3177807865089691E-2"/>
                  <c:y val="4.5827912931150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36121309740251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5.5569304176994266E-2"/>
                  <c:y val="-1.90861187516116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6.47885256782538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8493962391989503E-2"/>
                  <c:y val="-5.92931833212561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16"/>
              <c:layout>
                <c:manualLayout>
                  <c:x val="-2.1458768024934554E-2"/>
                  <c:y val="7.7286970692917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2.3241738584706493E-2"/>
                  <c:y val="-2.95559542267278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7.0608658645833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5.3563717387168024E-2"/>
                  <c:y val="-6.84786843369430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20"/>
              <c:layout>
                <c:manualLayout>
                  <c:x val="-3.0702026669285204E-2"/>
                  <c:y val="-5.99488344378246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5.5877332160918086E-3"/>
                  <c:y val="5.88639147895602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3.227221343947729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1490996616966797E-2"/>
                  <c:y val="4.34329570415723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2.1415706166706849E-2"/>
                  <c:y val="-4.2426730620313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1.1179688860994872E-3"/>
                  <c:y val="-5.94433083817677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7.9475411528303827E-3"/>
                  <c:y val="-2.46773350173712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
              <c:layout>
                <c:manualLayout>
                  <c:x val="-5.0070429386811423E-2"/>
                  <c:y val="-1.0540691202524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
              <c:layout>
                <c:manualLayout>
                  <c:x val="-5.8433146240546956E-2"/>
                  <c:y val="2.58083144720494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37E-2"/>
                      <c:h val="6.3510880207665573E-3"/>
                    </c:manualLayout>
                  </c15:layout>
                </c:ext>
              </c:extLst>
            </c:dLbl>
            <c:dLbl>
              <c:idx val="29"/>
              <c:layout>
                <c:manualLayout>
                  <c:x val="-1.0005579383739419E-2"/>
                  <c:y val="2.6093313241448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0"/>
              <c:layout>
                <c:manualLayout>
                  <c:x val="-2.8322787822645714E-2"/>
                  <c:y val="8.5801666123087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1"/>
              <c:layout>
                <c:manualLayout>
                  <c:x val="-2.5330581423517462E-2"/>
                  <c:y val="-5.7846281969318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
              <c:layout>
                <c:manualLayout>
                  <c:x val="-3.4390418820136756E-2"/>
                  <c:y val="3.75115335439612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3"/>
              <c:layout>
                <c:manualLayout>
                  <c:x val="-1.3196357897131968E-2"/>
                  <c:y val="5.07160491199235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
              <c:layout>
                <c:manualLayout>
                  <c:x val="7.5813316833510105E-3"/>
                  <c:y val="1.31722565722051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5.9596686116390454E-3"/>
                  <c:y val="5.93573415159395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7.1698285352216626E-3"/>
                  <c:y val="-3.05091042799248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
              <c:layout>
                <c:manualLayout>
                  <c:x val="-1.4774180576009838E-2"/>
                  <c:y val="-9.64512107980498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
              <c:layout>
                <c:manualLayout>
                  <c:x val="1.4593306908344827E-2"/>
                  <c:y val="7.37538905113761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8260358200170908E-3"/>
                  <c:y val="-2.2938321087352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0"/>
              <c:layout>
                <c:manualLayout>
                  <c:x val="1.9934586080907818E-3"/>
                  <c:y val="-3.39864702068190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
              <c:layout>
                <c:manualLayout>
                  <c:x val="-4.8278792986279672E-3"/>
                  <c:y val="3.19758544550275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
              <c:layout>
                <c:manualLayout>
                  <c:x val="-3.2194440309552479E-2"/>
                  <c:y val="2.02409675307501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46E-2"/>
                      <c:h val="6.3510880207665573E-3"/>
                    </c:manualLayout>
                  </c15:layout>
                </c:ext>
              </c:extLst>
            </c:dLbl>
            <c:dLbl>
              <c:idx val="43"/>
              <c:layout>
                <c:manualLayout>
                  <c:x val="-4.4089401952314505E-2"/>
                  <c:y val="7.985592380078800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
              <c:layout>
                <c:manualLayout>
                  <c:x val="-4.3832465480703811E-2"/>
                  <c:y val="2.51683263579574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5"/>
              <c:layout>
                <c:manualLayout>
                  <c:x val="4.8815056650949819E-4"/>
                  <c:y val="2.6626555170842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6"/>
              <c:layout>
                <c:manualLayout>
                  <c:x val="-3.3800888834802107E-3"/>
                  <c:y val="-4.63697578966370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
              <c:layout>
                <c:manualLayout>
                  <c:x val="-2.4347144266894546E-2"/>
                  <c:y val="-2.0350621325581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8"/>
              <c:layout>
                <c:manualLayout>
                  <c:x val="8.1248123831577784E-3"/>
                  <c:y val="-5.5446739738665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
              <c:layout>
                <c:manualLayout>
                  <c:x val="-2.8556060837756749E-3"/>
                  <c:y val="-3.389764013377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7.1244733468757235E-3"/>
                  <c:y val="-6.99795191434958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9.5418918885159E-3"/>
                  <c:y val="-2.1948447543419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1.4828495099765379E-2"/>
                  <c:y val="-4.41769804663416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3"/>
              <c:layout>
                <c:manualLayout>
                  <c:x val="-4.7000435472361858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
              <c:layout>
                <c:manualLayout>
                  <c:x val="-1.7113900062097055E-2"/>
                  <c:y val="6.61668266773305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
              <c:layout>
                <c:manualLayout>
                  <c:x val="-6.9073887987375774E-3"/>
                  <c:y val="-6.79623338591278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
              <c:layout>
                <c:manualLayout>
                  <c:x val="-2.907969859158671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
              <c:layout>
                <c:manualLayout>
                  <c:x val="-5.3563717387168003E-2"/>
                  <c:y val="-4.37462442784729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8"/>
              <c:layout>
                <c:manualLayout>
                  <c:x val="-2.9216573120273454E-2"/>
                  <c:y val="-1.87282083761968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0"/>
              <c:layout>
                <c:manualLayout>
                  <c:x val="-2.5457416937207787E-2"/>
                  <c:y val="-3.09177296644691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
              <c:layout>
                <c:manualLayout>
                  <c:x val="-2.707839950998257E-2"/>
                  <c:y val="-3.648666451194840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2"/>
              <c:layout>
                <c:manualLayout>
                  <c:x val="-2.9885485657814379E-3"/>
                  <c:y val="2.96647157444353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
              <c:layout>
                <c:manualLayout>
                  <c:x val="-4.0538393368539628E-2"/>
                  <c:y val="-5.328412823721864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4"/>
              <c:layout>
                <c:manualLayout>
                  <c:x val="-9.4165102350050323E-3"/>
                  <c:y val="-4.59808513995999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5"/>
              <c:layout>
                <c:manualLayout>
                  <c:x val="-1.8085631468488402E-2"/>
                  <c:y val="-4.84313108049479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6"/>
              <c:layout>
                <c:manualLayout>
                  <c:x val="-3.120602832460923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7"/>
              <c:layout>
                <c:manualLayout>
                  <c:x val="-5.1403314417985384E-3"/>
                  <c:y val="-3.4150536534979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8"/>
              <c:layout>
                <c:manualLayout>
                  <c:x val="-2.6560298124751226E-2"/>
                  <c:y val="-2.48049154102205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9"/>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0"/>
              <c:layout>
                <c:manualLayout>
                  <c:x val="-2.9553913007010487E-2"/>
                  <c:y val="-1.1032621427796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1"/>
              <c:layout>
                <c:manualLayout>
                  <c:x val="-1.9259940778832613E-2"/>
                  <c:y val="-2.336650297404072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1370077366159657E-2"/>
                  <c:y val="-6.08127256933960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5"/>
              <c:layout>
                <c:manualLayout>
                  <c:x val="-2.9216549156548737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6"/>
              <c:layout>
                <c:manualLayout>
                  <c:x val="-1.1888701071888289E-2"/>
                  <c:y val="5.93348871145306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77"/>
              <c:layout>
                <c:manualLayout>
                  <c:x val="9.966736253329115E-3"/>
                  <c:y val="-3.19057002202689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9"/>
              <c:layout>
                <c:manualLayout>
                  <c:x val="-2.4347144266894567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0"/>
              <c:layout>
                <c:manualLayout>
                  <c:x val="-2.9216573120273499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1"/>
              <c:layout>
                <c:manualLayout>
                  <c:x val="-4.1754488225903115E-2"/>
                  <c:y val="9.7598282305737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2"/>
              <c:layout>
                <c:manualLayout>
                  <c:x val="1.9219735277450631E-3"/>
                  <c:y val="5.0063654654838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1.8302999944746889E-2"/>
                  <c:y val="-2.56811054858021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4.9694412110814948E-2"/>
                  <c:y val="-1.04971403236929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5"/>
              <c:layout>
                <c:manualLayout>
                  <c:x val="-1.3209652834817341E-2"/>
                  <c:y val="-6.58311771902811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6"/>
              <c:layout>
                <c:manualLayout>
                  <c:x val="-1.5046609065515438E-2"/>
                  <c:y val="-8.011997555332360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7"/>
              <c:layout>
                <c:manualLayout>
                  <c:x val="-1.8260358200171802E-3"/>
                  <c:y val="-4.92739881250912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8"/>
              <c:layout>
                <c:manualLayout>
                  <c:x val="1.4937548137131935E-3"/>
                  <c:y val="-5.894642638467001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9"/>
              <c:layout>
                <c:manualLayout>
                  <c:x val="-1.2607429999690218E-2"/>
                  <c:y val="5.923241069957887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0"/>
              <c:layout>
                <c:manualLayout>
                  <c:x val="-1.6658108074772734E-2"/>
                  <c:y val="-1.056168056876941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91"/>
              <c:layout>
                <c:manualLayout>
                  <c:x val="-1.6077286846263646E-2"/>
                  <c:y val="-9.11799116559813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2"/>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3"/>
              <c:layout>
                <c:manualLayout>
                  <c:x val="-1.9477715413515638E-2"/>
                  <c:y val="7.83978055240588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5"/>
              <c:layout>
                <c:manualLayout>
                  <c:x val="-1.0735129341356028E-2"/>
                  <c:y val="2.64064464515032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7"/>
              <c:layout>
                <c:manualLayout>
                  <c:x val="-2.1065295845871621E-2"/>
                  <c:y val="-6.17524488281924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8"/>
              <c:layout>
                <c:manualLayout>
                  <c:x val="-1.7014609964020863E-2"/>
                  <c:y val="-5.66314985585968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8260358200170017E-3"/>
                  <c:y val="6.46235708254770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0"/>
              <c:layout>
                <c:manualLayout>
                  <c:x val="-3.1104734944420842E-2"/>
                  <c:y val="6.75282443761039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1"/>
              <c:layout>
                <c:manualLayout>
                  <c:x val="-2.3101441832965648E-2"/>
                  <c:y val="2.72658121565058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2"/>
              <c:layout>
                <c:manualLayout>
                  <c:x val="-1.8260358200171802E-3"/>
                  <c:y val="2.1755914560113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8260358200171802E-3"/>
                  <c:y val="5.75043824695217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5.9213490865879775E-3"/>
                  <c:y val="4.3628149301853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3033968983545445E-3"/>
                  <c:y val="-5.83284136965874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6"/>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7"/>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8"/>
              <c:layout>
                <c:manualLayout>
                  <c:x val="-2.4347144266894546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2.9990505572284897E-2"/>
                  <c:y val="1.85663056402349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2"/>
              <c:layout>
                <c:manualLayout>
                  <c:x val="-1.9477715413515614E-2"/>
                  <c:y val="-7.4909017842896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3"/>
              <c:layout>
                <c:manualLayout>
                  <c:x val="-2.9216573120273499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4"/>
              <c:layout>
                <c:manualLayout>
                  <c:x val="-1.1552766781293583E-2"/>
                  <c:y val="-1.5306811541900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5"/>
              <c:layout>
                <c:manualLayout>
                  <c:x val="7.7594133171279497E-4"/>
                  <c:y val="-2.85827928137225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6"/>
              <c:layout>
                <c:manualLayout>
                  <c:x val="-3.2613297259362579E-2"/>
                  <c:y val="1.108792741229935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7"/>
              <c:layout>
                <c:manualLayout>
                  <c:x val="-4.5676761345745262E-2"/>
                  <c:y val="-1.244698462205447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8"/>
              <c:layout>
                <c:manualLayout>
                  <c:x val="-4.8495699649698319E-2"/>
                  <c:y val="-6.592629399824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19"/>
              <c:layout>
                <c:manualLayout>
                  <c:x val="-2.0941600065819264E-2"/>
                  <c:y val="-8.220031993103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9180491089807846E-2"/>
                  <c:y val="1.31115939833381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1"/>
              <c:layout>
                <c:manualLayout>
                  <c:x val="-3.9194517146372308E-2"/>
                  <c:y val="2.55359277211608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122"/>
              <c:layout>
                <c:manualLayout>
                  <c:x val="-1.2471933670576934E-2"/>
                  <c:y val="-1.03273942117203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3"/>
              <c:layout>
                <c:manualLayout>
                  <c:x val="1.0783443142066669E-2"/>
                  <c:y val="-6.3155961007190561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4"/>
              <c:layout>
                <c:manualLayout>
                  <c:x val="-1.8260358200170908E-3"/>
                  <c:y val="1.00250572613720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3.0322291437564847E-2"/>
                  <c:y val="-1.67378212854284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6"/>
              <c:layout>
                <c:manualLayout>
                  <c:x val="-2.6152518523359595E-2"/>
                  <c:y val="-3.77425010634715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1.6908772394793097E-2"/>
                  <c:y val="4.0241022767445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8"/>
              <c:layout>
                <c:manualLayout>
                  <c:x val="-2.4421701405280698E-2"/>
                  <c:y val="1.13015596110612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29"/>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1"/>
              <c:layout>
                <c:manualLayout>
                  <c:x val="-4.2052280066757937E-3"/>
                  <c:y val="2.44459892610280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2"/>
              <c:layout>
                <c:manualLayout>
                  <c:x val="-1.8260358200170908E-3"/>
                  <c:y val="-3.4521851524689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3510960221158906E-2"/>
                  <c:y val="-1.44153422749556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134"/>
              <c:layout>
                <c:manualLayout>
                  <c:x val="-2.8625484542768583E-2"/>
                  <c:y val="5.1727190447433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1.1031905717998374E-2"/>
                  <c:y val="2.23726137330897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6"/>
              <c:layout>
                <c:manualLayout>
                  <c:x val="4.7945324693641116E-3"/>
                  <c:y val="-3.08340322551507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7"/>
              <c:layout>
                <c:manualLayout>
                  <c:x val="-1.1577560976485532E-2"/>
                  <c:y val="-1.90056585922374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38"/>
              <c:layout>
                <c:manualLayout>
                  <c:x val="1.4973287519627562E-2"/>
                  <c:y val="6.419542672565889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8767245486916755E-2"/>
                  <c:y val="-1.157923366746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2.1673897811819182E-2"/>
                  <c:y val="4.52358834372675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2"/>
              <c:layout>
                <c:manualLayout>
                  <c:x val="-3.914720907730574E-2"/>
                  <c:y val="4.129769981219325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3"/>
              <c:layout>
                <c:manualLayout>
                  <c:x val="7.0920070195562507E-3"/>
                  <c:y val="-1.55876504631812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4"/>
              <c:layout>
                <c:manualLayout>
                  <c:x val="-4.4804430844764431E-2"/>
                  <c:y val="-3.39205669998558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5"/>
              <c:layout>
                <c:manualLayout>
                  <c:x val="-2.9159158968446751E-2"/>
                  <c:y val="4.68200185634110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6"/>
              <c:layout>
                <c:manualLayout>
                  <c:x val="-2.9216573120273454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7"/>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9"/>
              <c:layout>
                <c:manualLayout>
                  <c:x val="-2.4347144266894567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0"/>
              <c:layout>
                <c:manualLayout>
                  <c:x val="-2.094471774914412E-2"/>
                  <c:y val="3.30969278396470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2"/>
              <c:layout>
                <c:manualLayout>
                  <c:x val="-1.0204420854325101E-2"/>
                  <c:y val="3.92168879270940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3"/>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1.0112270816789707E-2"/>
                  <c:y val="1.1670379307517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5"/>
              <c:layout>
                <c:manualLayout>
                  <c:x val="3.3697162755824614E-3"/>
                  <c:y val="-5.65856400475805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8.9429994368440298E-3"/>
                  <c:y val="9.057718692622195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7"/>
              <c:layout>
                <c:manualLayout>
                  <c:x val="-7.9965993206940124E-4"/>
                  <c:y val="-2.8100266352932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58"/>
              <c:layout>
                <c:manualLayout>
                  <c:x val="7.3270958805607359E-3"/>
                  <c:y val="1.8026849320640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8260358200170908E-3"/>
                  <c:y val="-1.10347881679489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1"/>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2"/>
              <c:layout>
                <c:manualLayout>
                  <c:x val="-1.8260358200170017E-3"/>
                  <c:y val="-1.01777982715663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1.5950128146164991E-2"/>
                  <c:y val="-2.322566148039985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165"/>
              <c:layout>
                <c:manualLayout>
                  <c:x val="-3.8587275320119629E-2"/>
                  <c:y val="3.2682859730554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6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0"/>
              <c:layout>
                <c:manualLayout>
                  <c:x val="-2.1485375903237038E-2"/>
                  <c:y val="-1.7579454905022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6521938625186694E-2"/>
                  <c:y val="-2.4122225219878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2"/>
              <c:layout>
                <c:manualLayout>
                  <c:x val="-1.6430930986172695E-3"/>
                  <c:y val="-2.1803891529168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4671705197114268E-2"/>
                  <c:y val="-2.280463310894367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74"/>
              <c:layout>
                <c:manualLayout>
                  <c:x val="-2.035083521328189E-3"/>
                  <c:y val="5.200673304465944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161832745625481E-3"/>
                  <c:y val="1.61390148149754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2.4092384473730515E-2"/>
                  <c:y val="-5.897908608299556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7"/>
              <c:layout>
                <c:manualLayout>
                  <c:x val="-1.953561476778911E-2"/>
                  <c:y val="6.058816505546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9"/>
              <c:layout>
                <c:manualLayout>
                  <c:x val="-2.6775148850675824E-2"/>
                  <c:y val="2.4346123920354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0"/>
              <c:layout>
                <c:manualLayout>
                  <c:x val="-2.2967863594416816E-2"/>
                  <c:y val="-5.7871848685368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73E-2"/>
                      <c:h val="6.3510880207665573E-3"/>
                    </c:manualLayout>
                  </c15:layout>
                </c:ext>
              </c:extLst>
            </c:dLbl>
            <c:dLbl>
              <c:idx val="181"/>
              <c:layout>
                <c:manualLayout>
                  <c:x val="-2.4347144266894567E-2"/>
                  <c:y val="2.20710740888429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2"/>
              <c:layout>
                <c:manualLayout>
                  <c:x val="1.3903692594380538E-2"/>
                  <c:y val="-5.61046116501651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3"/>
              <c:layout>
                <c:manualLayout>
                  <c:x val="-2.4347144266894567E-2"/>
                  <c:y val="4.324490839336913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5"/>
              <c:layout>
                <c:manualLayout>
                  <c:x val="-3.083663341613533E-2"/>
                  <c:y val="3.01138604786108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3.255712678140589E-2"/>
                  <c:y val="7.76119065076338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6.9765844742368261E-3"/>
                  <c:y val="-7.95256801807981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8"/>
              <c:layout>
                <c:manualLayout>
                  <c:x val="-2.0014598701070269E-2"/>
                  <c:y val="1.056726770743466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1"/>
              <c:layout>
                <c:manualLayout>
                  <c:x val="-7.6456263566463852E-3"/>
                  <c:y val="-8.03825205305484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2"/>
              <c:layout>
                <c:manualLayout>
                  <c:x val="-2.4886375999467046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4"/>
              <c:layout>
                <c:manualLayout>
                  <c:x val="-1.040481448302812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95"/>
              <c:layout>
                <c:manualLayout>
                  <c:x val="-1.6830330522679269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96"/>
              <c:layout>
                <c:manualLayout>
                  <c:x val="-2.7562985111668794E-2"/>
                  <c:y val="-6.468404185372815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7"/>
              <c:layout>
                <c:manualLayout>
                  <c:x val="-8.9839596081892417E-3"/>
                  <c:y val="-7.92011468029977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0065365942431637E-3"/>
                  <c:y val="-8.40657231867876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99"/>
              <c:layout>
                <c:manualLayout>
                  <c:x val="-3.1773945344757688E-3"/>
                  <c:y val="-2.35818523660828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0"/>
              <c:layout>
                <c:manualLayout>
                  <c:x val="-1.1875421328922832E-2"/>
                  <c:y val="2.3591361456033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3"/>
              <c:layout>
                <c:manualLayout>
                  <c:x val="-1.1351053989099648E-2"/>
                  <c:y val="-3.775538337862718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4"/>
              <c:layout>
                <c:manualLayout>
                  <c:x val="1.3447124721130638E-3"/>
                  <c:y val="-2.23776196530029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5"/>
              <c:layout>
                <c:manualLayout>
                  <c:x val="-1.8460670974705374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6"/>
              <c:layout>
                <c:manualLayout>
                  <c:x val="-1.8565021326884375E-2"/>
                  <c:y val="6.73204008672900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7"/>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13470126936315E-2"/>
                  <c:y val="-7.2968619196810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0"/>
              <c:layout>
                <c:manualLayout>
                  <c:x val="-9.5538872065425561E-3"/>
                  <c:y val="-5.93524550612934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1.5180946388753792E-2"/>
                  <c:y val="3.40466266213044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2.9234977260821682E-2"/>
                  <c:y val="1.075228963202242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3"/>
              <c:layout>
                <c:manualLayout>
                  <c:x val="1.8283301030440971E-2"/>
                  <c:y val="3.9342989945965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4"/>
              <c:layout>
                <c:manualLayout>
                  <c:x val="1.1312890998122637E-2"/>
                  <c:y val="1.21239129153318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6"/>
              <c:layout>
                <c:manualLayout>
                  <c:x val="-2.943161297909354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7"/>
              <c:layout>
                <c:manualLayout>
                  <c:x val="3.7195396292873705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0160729825666204E-2"/>
                  <c:y val="4.31176034538194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9"/>
              <c:layout>
                <c:manualLayout>
                  <c:x val="-2.5352961326262777E-2"/>
                  <c:y val="4.66836673832547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1"/>
              <c:layout>
                <c:manualLayout>
                  <c:x val="-2.7562931188846073E-2"/>
                  <c:y val="1.78908774309393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2.7506931654895539E-2"/>
                  <c:y val="2.86929464309803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8.1849893386209769E-3"/>
                  <c:y val="6.62764967001668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5"/>
              <c:layout>
                <c:manualLayout>
                  <c:x val="-4.1737862643045464E-4"/>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7"/>
              <c:layout>
                <c:manualLayout>
                  <c:x val="-2.2989677261820021E-4"/>
                  <c:y val="5.405655092732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8"/>
              <c:layout>
                <c:manualLayout>
                  <c:x val="-1.069933061396117E-2"/>
                  <c:y val="-2.4943023051637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687803675990446E-2"/>
                  <c:y val="1.8829788278103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0"/>
              <c:layout>
                <c:manualLayout>
                  <c:x val="8.869712883425496E-3"/>
                  <c:y val="-1.82882892625542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2"/>
              <c:layout>
                <c:manualLayout>
                  <c:x val="-1.8260358200170464E-3"/>
                  <c:y val="-1.9493305918246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3"/>
              <c:layout>
                <c:manualLayout>
                  <c:x val="-3.6239773609180154E-2"/>
                  <c:y val="-1.0635259452885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5.261409274091332E-3"/>
                  <c:y val="-1.3665068992841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5"/>
              <c:layout>
                <c:manualLayout>
                  <c:x val="-2.9357483214646498E-3"/>
                  <c:y val="-6.21667166297940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2.0564661570249138E-2"/>
                  <c:y val="-6.38708666077992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37"/>
              <c:layout>
                <c:manualLayout>
                  <c:x val="-1.9099216328895007E-2"/>
                  <c:y val="8.61807013313968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8"/>
              <c:layout>
                <c:manualLayout>
                  <c:x val="-2.4293824979499057E-2"/>
                  <c:y val="1.54145156992207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39"/>
              <c:layout>
                <c:manualLayout>
                  <c:x val="-1.4612500857549468E-2"/>
                  <c:y val="-8.71564997046275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0"/>
              <c:layout>
                <c:manualLayout>
                  <c:x val="-2.4347144266894546E-2"/>
                  <c:y val="4.97810125690025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9.5744747485914591E-3"/>
                  <c:y val="-5.2328339498661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2"/>
              <c:layout>
                <c:manualLayout>
                  <c:x val="-8.2572094226757205E-3"/>
                  <c:y val="-1.441929659041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43"/>
              <c:layout>
                <c:manualLayout>
                  <c:x val="-3.1299724685025926E-2"/>
                  <c:y val="2.8664101327218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94E-2"/>
                      <c:h val="6.3510880207665573E-3"/>
                    </c:manualLayout>
                  </c15:layout>
                </c:ext>
              </c:extLst>
            </c:dLbl>
            <c:dLbl>
              <c:idx val="24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5"/>
              <c:layout>
                <c:manualLayout>
                  <c:x val="6.9840707274879807E-3"/>
                  <c:y val="1.36332461900180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6"/>
              <c:layout>
                <c:manualLayout>
                  <c:x val="-2.7102575611535222E-2"/>
                  <c:y val="-1.42594740761538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7"/>
              <c:layout>
                <c:manualLayout>
                  <c:x val="-7.4956374039234367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8"/>
              <c:layout>
                <c:manualLayout>
                  <c:x val="-2.9216573120273367E-2"/>
                  <c:y val="-4.0644462904550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9"/>
              <c:layout>
                <c:manualLayout>
                  <c:x val="-2.026386936510987E-2"/>
                  <c:y val="-2.49223937117947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2500149773279245E-2"/>
                  <c:y val="-2.05597721459715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2"/>
              <c:layout>
                <c:manualLayout>
                  <c:x val="-1.225677051686805E-2"/>
                  <c:y val="-2.34578863688100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3"/>
              <c:layout>
                <c:manualLayout>
                  <c:x val="-2.4347144266894567E-2"/>
                  <c:y val="2.246009769548648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7.0148050930332285E-3"/>
                  <c:y val="-8.614119604439481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6"/>
              <c:layout>
                <c:manualLayout>
                  <c:x val="-4.1644386799431429E-2"/>
                  <c:y val="-2.72416980934046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7"/>
              <c:layout>
                <c:manualLayout>
                  <c:x val="-4.1666481708694546E-2"/>
                  <c:y val="7.72677767743022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58"/>
              <c:layout>
                <c:manualLayout>
                  <c:x val="-1.6991599207580095E-2"/>
                  <c:y val="-6.7132659987216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1"/>
              <c:layout>
                <c:manualLayout>
                  <c:x val="-1.328365423556437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2571238487746519E-2"/>
                  <c:y val="3.79565024233330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5"/>
              <c:layout>
                <c:manualLayout>
                  <c:x val="-3.002243217137561E-2"/>
                  <c:y val="9.7284858136379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6"/>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0"/>
              <c:layout>
                <c:manualLayout>
                  <c:x val="-1.8169998891201355E-2"/>
                  <c:y val="2.85855808713831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1"/>
              <c:layout>
                <c:manualLayout>
                  <c:x val="-2.9216573120273433E-2"/>
                  <c:y val="-1.2484466625700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3"/>
              <c:layout>
                <c:manualLayout>
                  <c:x val="2.9332413773633809E-4"/>
                  <c:y val="-5.48599385943557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4"/>
              <c:layout>
                <c:manualLayout>
                  <c:x val="-2.7999836718312712E-2"/>
                  <c:y val="-8.7035912807843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6"/>
              <c:layout>
                <c:manualLayout>
                  <c:x val="-5.7191530356077453E-3"/>
                  <c:y val="-3.7500342314461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9551280500327207E-2"/>
                  <c:y val="7.79460626584953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2.4347144266894546E-2"/>
                  <c:y val="-7.3944552391757602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0"/>
              <c:layout>
                <c:manualLayout>
                  <c:x val="-3.1062842335760357E-2"/>
                  <c:y val="-8.0833518403027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1"/>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2"/>
              <c:layout>
                <c:manualLayout>
                  <c:x val="-7.9067680507954718E-3"/>
                  <c:y val="-2.08779284614319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3"/>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4"/>
              <c:layout>
                <c:manualLayout>
                  <c:x val="-2.9216573120273454E-2"/>
                  <c:y val="-6.35108802076655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9.5212810715587515E-3"/>
                  <c:y val="-1.996748317946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6"/>
              <c:layout>
                <c:manualLayout>
                  <c:x val="-1.2344864837403732E-2"/>
                  <c:y val="-2.5801295084364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7"/>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6952849454609613E-2"/>
                  <c:y val="6.5461940752773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89"/>
              <c:layout>
                <c:manualLayout>
                  <c:x val="-2.9460327389531259E-2"/>
                  <c:y val="-4.82874473520993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2.6015330962093491E-2"/>
                  <c:y val="2.0866613508106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1"/>
              <c:layout>
                <c:manualLayout>
                  <c:x val="-3.6097337294696802E-2"/>
                  <c:y val="-2.28907964795719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2"/>
              <c:layout>
                <c:manualLayout>
                  <c:x val="-1.6643949146995494E-2"/>
                  <c:y val="-7.1347216342053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3"/>
              <c:layout>
                <c:manualLayout>
                  <c:x val="-2.9134184814522974E-2"/>
                  <c:y val="6.14925003598558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4"/>
              <c:layout>
                <c:manualLayout>
                  <c:x val="-2.0277349511656658E-2"/>
                  <c:y val="-4.42674273136416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5"/>
              <c:layout>
                <c:manualLayout>
                  <c:x val="-2.9216573120273499E-2"/>
                  <c:y val="-4.18741852901180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3.1746917645320241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7"/>
              <c:layout>
                <c:manualLayout>
                  <c:x val="1.0340821021531579E-2"/>
                  <c:y val="6.153447031447867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7659950723579482E-2"/>
                  <c:y val="-1.04674181995791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300"/>
              <c:layout>
                <c:manualLayout>
                  <c:x val="2.1503797411630127E-2"/>
                  <c:y val="-9.62352362989765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1"/>
              <c:layout>
                <c:manualLayout>
                  <c:x val="-2.7720475588302054E-2"/>
                  <c:y val="-1.42451531764798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2"/>
              <c:layout>
                <c:manualLayout>
                  <c:x val="-2.2101688307273687E-2"/>
                  <c:y val="-1.261966793656261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03"/>
              <c:layout>
                <c:manualLayout>
                  <c:x val="-1.4838432674155126E-2"/>
                  <c:y val="1.456987342179951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8578541527129527E-2"/>
                  <c:y val="5.921261848088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0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8"/>
              <c:layout>
                <c:manualLayout>
                  <c:x val="-1.0038452192608939E-2"/>
                  <c:y val="7.390016002117526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4.4381956921144473E-2"/>
                  <c:y val="-3.96021920653719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2"/>
              <c:layout>
                <c:manualLayout>
                  <c:x val="1.1276072814970315E-2"/>
                  <c:y val="5.79845793334619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1.3766201275157762E-2"/>
                  <c:y val="-3.19657886391650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4.264186342605629E-2"/>
                  <c:y val="1.44794604930444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5"/>
              <c:layout>
                <c:manualLayout>
                  <c:x val="1.1701438829956765E-2"/>
                  <c:y val="-1.67134100910662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7"/>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8"/>
              <c:layout>
                <c:manualLayout>
                  <c:x val="-2.3723369681862085E-2"/>
                  <c:y val="1.51764492576762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319"/>
              <c:layout>
                <c:manualLayout>
                  <c:x val="1.2021690046475247E-2"/>
                  <c:y val="1.27367050880359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0"/>
              <c:layout>
                <c:manualLayout>
                  <c:x val="-5.9140418392226151E-3"/>
                  <c:y val="1.94820870040957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1"/>
              <c:layout>
                <c:manualLayout>
                  <c:x val="-4.8796022154634376E-2"/>
                  <c:y val="-9.12611126730723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2"/>
              <c:layout>
                <c:manualLayout>
                  <c:x val="-3.4119432662534678E-2"/>
                  <c:y val="-3.80746214106285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7.7241671531581308E-3"/>
                  <c:y val="6.06235394995647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4"/>
              <c:layout>
                <c:manualLayout>
                  <c:x val="-7.1717743101856637E-4"/>
                  <c:y val="6.90649566903930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5"/>
              <c:layout>
                <c:manualLayout>
                  <c:x val="-1.5678530467719207E-2"/>
                  <c:y val="3.32950788631977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326"/>
              <c:layout>
                <c:manualLayout>
                  <c:x val="-2.4510360459027342E-2"/>
                  <c:y val="4.6568096559687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3.7351348522660338E-2"/>
                  <c:y val="1.32910532270647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2.4347144266894591E-2"/>
                  <c:y val="-7.82029199431759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0143379757458349E-2"/>
                  <c:y val="-3.6839959690563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1"/>
              <c:layout>
                <c:manualLayout>
                  <c:x val="-4.1126304645080014E-3"/>
                  <c:y val="-1.2722179468369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2"/>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3"/>
              <c:layout>
                <c:manualLayout>
                  <c:x val="-2.5123097588672955E-2"/>
                  <c:y val="-1.268467304305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4"/>
              <c:layout>
                <c:manualLayout>
                  <c:x val="-1.6402688790492781E-2"/>
                  <c:y val="-5.9102649636480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5"/>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6"/>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33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1.1671834643589963E-2"/>
                  <c:y val="4.420931925803676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8546752211735305E-2"/>
                  <c:y val="-2.35081433042734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3.7623130084076188E-2"/>
                  <c:y val="2.66941531026985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341"/>
              <c:layout>
                <c:manualLayout>
                  <c:x val="-2.548006858759733E-2"/>
                  <c:y val="-1.12823697971561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2"/>
              <c:layout>
                <c:manualLayout>
                  <c:x val="-1.2325852924595574E-2"/>
                  <c:y val="2.86693738902544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1.7283370894912355E-2"/>
                  <c:y val="-2.28404753589349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6.1030569844725442E-3"/>
                  <c:y val="-1.2224906779343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5"/>
              <c:layout>
                <c:manualLayout>
                  <c:x val="-1.08562840621159E-2"/>
                  <c:y val="8.68730083445749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2.605966629954632E-2"/>
                  <c:y val="-1.46046472064797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1.6498315426755068E-3"/>
                  <c:y val="5.5344327637458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0"/>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1.8260358200171355E-3"/>
                  <c:y val="-6.75596145779684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3"/>
              <c:layout>
                <c:manualLayout>
                  <c:x val="-5.8116106163134541E-2"/>
                  <c:y val="2.0786670222999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4"/>
              <c:layout>
                <c:manualLayout>
                  <c:x val="-3.9598309674734086E-2"/>
                  <c:y val="-8.9736770836007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3.4517265131179232E-3"/>
                  <c:y val="-3.17195401673173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2709389622033678E-2"/>
                  <c:y val="-2.983636134165235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3.0109698116615107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358"/>
              <c:layout>
                <c:manualLayout>
                  <c:x val="-2.2608314687558605E-2"/>
                  <c:y val="-3.3998636891482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9"/>
              <c:layout>
                <c:manualLayout>
                  <c:x val="-6.6302888677555304E-3"/>
                  <c:y val="-7.7827405938200953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0"/>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1"/>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0735221451176068E-2"/>
                  <c:y val="2.24722872837152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8044685483295747E-2"/>
                  <c:y val="-4.3877335382825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3231280294756169E-2"/>
                  <c:y val="-1.86852292635301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1.1785323264848022E-2"/>
                  <c:y val="-4.4846955286208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7.5009262912121384E-3"/>
                  <c:y val="-7.9978300704446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1"/>
              <c:layout>
                <c:manualLayout>
                  <c:x val="-1.6727125958309351E-2"/>
                  <c:y val="1.153127662172555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2"/>
              <c:layout>
                <c:manualLayout>
                  <c:x val="-4.6916415691392682E-2"/>
                  <c:y val="-3.29160610226420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3"/>
              <c:layout>
                <c:manualLayout>
                  <c:x val="-2.0346302783734952E-2"/>
                  <c:y val="-2.1670899996054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4"/>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5"/>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6"/>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8"/>
              <c:layout>
                <c:manualLayout>
                  <c:x val="-1.3595901037269905E-2"/>
                  <c:y val="2.487347988802331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9"/>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0"/>
              <c:layout>
                <c:manualLayout>
                  <c:x val="-2.4347144266894501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3.399043985113074E-2"/>
                  <c:y val="1.9337944448328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2"/>
              <c:layout>
                <c:manualLayout>
                  <c:x val="-2.4880618894918265E-2"/>
                  <c:y val="7.9159725933397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3"/>
              <c:layout>
                <c:manualLayout>
                  <c:x val="-6.3225259188574067E-3"/>
                  <c:y val="9.86919071573448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77556098247881E-2"/>
                  <c:y val="-7.11536844090525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7"/>
              <c:layout>
                <c:manualLayout>
                  <c:x val="-2.4696170972567457E-2"/>
                  <c:y val="-1.122060169678983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88"/>
              <c:layout>
                <c:manualLayout>
                  <c:x val="-1.1210791100823589E-2"/>
                  <c:y val="2.68097665014640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38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8260358200170908E-3"/>
                  <c:y val="1.08206279124086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1"/>
              <c:layout>
                <c:manualLayout>
                  <c:x val="-6.6422912790615419E-3"/>
                  <c:y val="-5.415158221361592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2"/>
              <c:layout>
                <c:manualLayout>
                  <c:x val="1.5862583200250618E-2"/>
                  <c:y val="-9.38669514865694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2245015391750628E-2"/>
                  <c:y val="7.98769702537846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8"/>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6"/>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7"/>
              <c:layout>
                <c:manualLayout>
                  <c:x val="-4.4284822950712505E-3"/>
                  <c:y val="-2.728513406954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0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09"/>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6058137835403604E-2"/>
                  <c:y val="3.8966397465715376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1"/>
              <c:layout>
                <c:manualLayout>
                  <c:x val="-1.8260118562924187E-3"/>
                  <c:y val="6.96518202902688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12"/>
              <c:layout>
                <c:manualLayout>
                  <c:x val="-1.8260358200170908E-3"/>
                  <c:y val="-9.59773796249049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3"/>
              <c:layout>
                <c:manualLayout>
                  <c:x val="-1.4329470182540358E-2"/>
                  <c:y val="2.00683365666738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14"/>
              <c:layout>
                <c:manualLayout>
                  <c:x val="-3.2683188948672705E-2"/>
                  <c:y val="1.17766486421908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8260358200171355E-3"/>
                  <c:y val="5.47906079719765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6"/>
              <c:layout>
                <c:manualLayout>
                  <c:x val="-6.9130373089954632E-3"/>
                  <c:y val="2.20473593248663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3179813285216415E-2"/>
                  <c:y val="7.691013997614527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6.0477648854270361E-3"/>
                  <c:y val="-5.5175936702656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3.1456324949670919E-2"/>
                  <c:y val="1.951037362088092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0"/>
              <c:layout>
                <c:manualLayout>
                  <c:x val="-2.6787112660498845E-2"/>
                  <c:y val="1.87638817396352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1.1765802398960594E-2"/>
                  <c:y val="-1.02822901480293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2"/>
              <c:layout>
                <c:manualLayout>
                  <c:x val="-1.9196719114376821E-2"/>
                  <c:y val="1.066352422921567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3"/>
              <c:layout>
                <c:manualLayout>
                  <c:x val="-2.5855570382005692E-2"/>
                  <c:y val="-2.54512351147155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4"/>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5"/>
              <c:layout>
                <c:manualLayout>
                  <c:x val="-2.8228112914082032E-2"/>
                  <c:y val="-7.1679314570711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6"/>
              <c:layout>
                <c:manualLayout>
                  <c:x val="-3.931706560181146E-2"/>
                  <c:y val="3.6882090457848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7"/>
              <c:layout>
                <c:manualLayout>
                  <c:x val="-2.4746298049857705E-2"/>
                  <c:y val="6.00621643995381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8"/>
              <c:layout>
                <c:manualLayout>
                  <c:x val="-1.579525777059718E-2"/>
                  <c:y val="-1.87979219910369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9"/>
              <c:layout>
                <c:manualLayout>
                  <c:x val="-2.0265457165906352E-2"/>
                  <c:y val="7.537202535036931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3.0444618154821933E-2"/>
                  <c:y val="-7.83978055240646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2"/>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3"/>
              <c:layout>
                <c:manualLayout>
                  <c:x val="-1.8260358200170908E-3"/>
                  <c:y val="5.92032690847008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6"/>
              <c:layout>
                <c:manualLayout>
                  <c:x val="-3.8955430827031276E-2"/>
                  <c:y val="-1.42430650150765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7"/>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2.0245421790310789E-2"/>
                  <c:y val="-9.55041330178491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439"/>
              <c:layout>
                <c:manualLayout>
                  <c:x val="-1.9312056618672916E-2"/>
                  <c:y val="-3.543230388714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0"/>
              <c:layout>
                <c:manualLayout>
                  <c:x val="-1.8260358200171355E-3"/>
                  <c:y val="-1.8810722511900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3.8179618598107708E-2"/>
                  <c:y val="-5.91562120790930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2"/>
              <c:layout>
                <c:manualLayout>
                  <c:x val="-2.9216549156548782E-2"/>
                  <c:y val="8.917045408348354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3"/>
              <c:layout>
                <c:manualLayout>
                  <c:x val="1.026254793418869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5"/>
              <c:layout>
                <c:manualLayout>
                  <c:x val="-3.0719718291542283E-2"/>
                  <c:y val="-5.923764814959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6"/>
              <c:layout>
                <c:manualLayout>
                  <c:x val="-2.9216573120273454E-2"/>
                  <c:y val="-9.6626189570554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7"/>
              <c:layout>
                <c:manualLayout>
                  <c:x val="-2.6890036053640307E-2"/>
                  <c:y val="-2.08515208833869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448"/>
              <c:layout>
                <c:manualLayout>
                  <c:x val="-4.9341722134044926E-2"/>
                  <c:y val="-1.008468709179359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76E-2"/>
                      <c:h val="6.3510880207665573E-3"/>
                    </c:manualLayout>
                  </c15:layout>
                </c:ext>
              </c:extLst>
            </c:dLbl>
            <c:dLbl>
              <c:idx val="449"/>
              <c:layout>
                <c:manualLayout>
                  <c:x val="-2.1933488154514028E-2"/>
                  <c:y val="-5.156477118986504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0"/>
              <c:layout>
                <c:manualLayout>
                  <c:x val="1.2220118673157322E-2"/>
                  <c:y val="-2.25804308100531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1"/>
              <c:layout>
                <c:manualLayout>
                  <c:x val="-1.8260358200170908E-3"/>
                  <c:y val="7.0432067718265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2"/>
              <c:layout>
                <c:manualLayout>
                  <c:x val="-3.9811751965644772E-2"/>
                  <c:y val="-3.25459356037470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2.6695916210277674E-2"/>
                  <c:y val="-5.005099975266464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3277493713592929E-2"/>
                  <c:y val="-1.27334313959665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55"/>
              <c:layout>
                <c:manualLayout>
                  <c:x val="-2.9488647620762445E-2"/>
                  <c:y val="-5.03584407795906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6"/>
              <c:layout>
                <c:manualLayout>
                  <c:x val="-4.4968832103258558E-3"/>
                  <c:y val="3.0910212353810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1.9812526361122258E-2"/>
                  <c:y val="-2.26223870119475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0194069051902033E-2"/>
                  <c:y val="2.4629015217217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5.487472783199659E-3"/>
                  <c:y val="-7.08649525521835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0"/>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7.2499692461329649E-3"/>
                  <c:y val="1.6365237278221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5875404602852517E-2"/>
                  <c:y val="-6.997450790741260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1.0324404668826044E-2"/>
                  <c:y val="2.83483889290563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7800271924525711E-2"/>
                  <c:y val="5.315368661982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6.5208879058487714E-3"/>
                  <c:y val="1.22281500064312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4.983713984334363E-3"/>
                  <c:y val="2.27590893461811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4228823429935818E-3"/>
                  <c:y val="7.83524700211646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9"/>
              <c:layout>
                <c:manualLayout>
                  <c:x val="-1.8992238558776599E-2"/>
                  <c:y val="7.09239745437393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98E-2"/>
                      <c:h val="6.3510880207665573E-3"/>
                    </c:manualLayout>
                  </c15:layout>
                </c:ext>
              </c:extLst>
            </c:dLbl>
            <c:dLbl>
              <c:idx val="47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2"/>
              <c:layout>
                <c:manualLayout>
                  <c:x val="2.0235280901380872E-3"/>
                  <c:y val="-8.4377562527839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8.0076119821859641E-3"/>
                  <c:y val="1.4356011888562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9087724220630712E-2"/>
                  <c:y val="1.2194344467370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6"/>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7"/>
              <c:layout>
                <c:manualLayout>
                  <c:x val="-9.5821637707784804E-3"/>
                  <c:y val="-3.79392948746512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79"/>
              <c:layout>
                <c:manualLayout>
                  <c:x val="-3.0025320441241368E-2"/>
                  <c:y val="-2.71811316851702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0"/>
              <c:layout>
                <c:manualLayout>
                  <c:x val="-1.8260358200171802E-3"/>
                  <c:y val="8.20925791099471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1"/>
              <c:layout>
                <c:manualLayout>
                  <c:x val="-1.3800234257390532E-2"/>
                  <c:y val="-2.29123626741306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2"/>
              <c:layout>
                <c:manualLayout>
                  <c:x val="5.999601105942126E-3"/>
                  <c:y val="-7.18815248588351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3.8440524097535553E-2"/>
                  <c:y val="-1.48550694615433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4"/>
              <c:layout>
                <c:manualLayout>
                  <c:x val="-4.9776234321283813E-3"/>
                  <c:y val="-8.703053441842171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5"/>
              <c:layout>
                <c:manualLayout>
                  <c:x val="1.3797708671964058E-2"/>
                  <c:y val="-3.93019622855447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6"/>
              <c:layout>
                <c:manualLayout>
                  <c:x val="-1.4640801540513147E-2"/>
                  <c:y val="6.50175527073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7"/>
              <c:layout>
                <c:manualLayout>
                  <c:x val="-1.8260358200171355E-3"/>
                  <c:y val="1.60837227895926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9"/>
              <c:layout>
                <c:manualLayout>
                  <c:x val="-2.0985661419814207E-2"/>
                  <c:y val="3.85848840194292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6.2071133847247367E-3"/>
                  <c:y val="3.18673708047006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1"/>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8260358200170464E-3"/>
                  <c:y val="1.2307889745361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1802E-3"/>
                  <c:y val="-5.87835078496884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9.0752512476712805E-3"/>
                  <c:y val="6.01219628387636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1.43519508560816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2.9409081481007165E-3"/>
                  <c:y val="-1.17118474235308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6.8394387312262191E-3"/>
                  <c:y val="4.54895719427912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216573120273412E-2"/>
                  <c:y val="-9.24327518273053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017E-3"/>
                  <c:y val="-1.67512110485047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1.8260358200171355E-3"/>
                  <c:y val="-2.150602800142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4"/>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1.080995570003634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1.7661995182347229E-3"/>
                  <c:y val="5.5252590459403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8.8674883488326802E-4"/>
                  <c:y val="-9.82368291968017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0"/>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355E-3"/>
                  <c:y val="-2.13364286344304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1802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6"/>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9"/>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0"/>
              <c:layout>
                <c:manualLayout>
                  <c:x val="-9.117929890953275E-3"/>
                  <c:y val="7.21700821077859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3.0882525174941226E-2"/>
                  <c:y val="-1.629312429926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2580626064485262E-2"/>
                  <c:y val="2.48579970357966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1808049425903718E-2"/>
                  <c:y val="-5.92111102265831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4"/>
              <c:layout>
                <c:manualLayout>
                  <c:x val="3.4222689277274191E-4"/>
                  <c:y val="-2.66328060866223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0240318513883968E-2"/>
                  <c:y val="5.160259016872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6"/>
              <c:layout>
                <c:manualLayout>
                  <c:x val="-1.8045481075301028E-2"/>
                  <c:y val="-6.143985177975105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7324234517678498E-2"/>
                  <c:y val="-1.89916402778596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9.85141471206336E-6"/>
                  <c:y val="1.722349259176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1.4147467427607403E-2"/>
                  <c:y val="-3.305566284823005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82E-2"/>
                      <c:h val="6.3510880207665573E-3"/>
                    </c:manualLayout>
                  </c15:layout>
                </c:ext>
              </c:extLst>
            </c:dLbl>
            <c:dLbl>
              <c:idx val="530"/>
              <c:layout>
                <c:manualLayout>
                  <c:x val="-2.8342174783414126E-2"/>
                  <c:y val="7.43037714266611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3.6399874578493856E-2"/>
                  <c:y val="-1.13305004046613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32"/>
              <c:layout>
                <c:manualLayout>
                  <c:x val="-1.7763547304394275E-2"/>
                  <c:y val="9.32850403462031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6.5557260730463966E-3"/>
                  <c:y val="-1.198794965173639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4"/>
              <c:layout>
                <c:manualLayout>
                  <c:x val="-3.2429846100673496E-2"/>
                  <c:y val="-1.7174504707337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1.4801050761399424E-2"/>
                  <c:y val="-2.42185318339555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4.7919205449976528E-3"/>
                  <c:y val="1.037709272552330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7"/>
              <c:layout>
                <c:manualLayout>
                  <c:x val="-7.8588076513297685E-3"/>
                  <c:y val="3.96547813942942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839866712696832E-2"/>
                  <c:y val="2.88264746534667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2.1219359783768632E-3"/>
                  <c:y val="-1.93711310168817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0"/>
              <c:layout>
                <c:manualLayout>
                  <c:x val="-1.3054682969055433E-2"/>
                  <c:y val="2.454540115408901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5.3640922234446482E-3"/>
                  <c:y val="3.93040859962184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2"/>
              <c:layout>
                <c:manualLayout>
                  <c:x val="-6.6266969491091589E-3"/>
                  <c:y val="7.09668450076353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4.195662261851673E-2"/>
                  <c:y val="-5.24741782166714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3.6234596314357729E-3"/>
                  <c:y val="-3.13327114351277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5"/>
              <c:layout>
                <c:manualLayout>
                  <c:x val="-1.9477715413515659E-2"/>
                  <c:y val="-3.36282346334368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6"/>
              <c:layout>
                <c:manualLayout>
                  <c:x val="1.138528348649333E-2"/>
                  <c:y val="-9.1680934079339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2.151579657175233E-2"/>
                  <c:y val="2.58775673540591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8"/>
              <c:layout>
                <c:manualLayout>
                  <c:x val="1.0166676717829053E-2"/>
                  <c:y val="-6.94343949797911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49"/>
              <c:layout>
                <c:manualLayout>
                  <c:x val="1.301517814393284E-2"/>
                  <c:y val="-2.31992086894391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0"/>
              <c:layout>
                <c:manualLayout>
                  <c:x val="-2.0785877732509516E-2"/>
                  <c:y val="3.607274537616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5.0519501736943882E-3"/>
                  <c:y val="3.10359787982874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3"/>
              <c:layout>
                <c:manualLayout>
                  <c:x val="-9.2828491958994001E-3"/>
                  <c:y val="2.54464960412197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4230135203035009E-2"/>
                  <c:y val="-1.1601000225244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51E-2"/>
                      <c:h val="6.3510880207665573E-3"/>
                    </c:manualLayout>
                  </c15:layout>
                </c:ext>
              </c:extLst>
            </c:dLbl>
            <c:dLbl>
              <c:idx val="556"/>
              <c:layout>
                <c:manualLayout>
                  <c:x val="-1.9206817798526486E-2"/>
                  <c:y val="6.88586008478737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1.1483732146433038E-2"/>
                  <c:y val="4.053324752665267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2.5563900187205665E-4"/>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59"/>
              <c:layout>
                <c:manualLayout>
                  <c:x val="-1.2753524225168908E-2"/>
                  <c:y val="4.92472384035614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0"/>
              <c:layout>
                <c:manualLayout>
                  <c:x val="-2.9057109806427013E-2"/>
                  <c:y val="-3.1771594205795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1"/>
              <c:layout>
                <c:manualLayout>
                  <c:x val="-1.8260358200170908E-3"/>
                  <c:y val="-1.986627545613821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6306099740840839E-3"/>
                  <c:y val="-5.50588072619190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3.6558137922314861E-2"/>
                  <c:y val="-1.31763896208520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4"/>
              <c:layout>
                <c:manualLayout>
                  <c:x val="-6.1219914497344104E-2"/>
                  <c:y val="-2.515243392633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65"/>
              <c:layout>
                <c:manualLayout>
                  <c:x val="-6.4551304894827407E-3"/>
                  <c:y val="3.1596975456857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6"/>
              <c:layout>
                <c:manualLayout>
                  <c:x val="1.0631170958649634E-2"/>
                  <c:y val="1.1955171469965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7"/>
              <c:layout>
                <c:manualLayout>
                  <c:x val="-4.3989744413891474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4832241708411238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9"/>
              <c:layout>
                <c:manualLayout>
                  <c:x val="-8.9023761914171912E-3"/>
                  <c:y val="3.6177536319329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0"/>
              <c:layout>
                <c:manualLayout>
                  <c:x val="2.0905348800022566E-3"/>
                  <c:y val="9.28389777764360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4.176355014440189E-2"/>
                  <c:y val="3.52106825671134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1.415546926494539E-3"/>
                  <c:y val="-4.4528888120771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5.6590469624130764E-3"/>
                  <c:y val="9.29998246533385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6"/>
              <c:layout>
                <c:manualLayout>
                  <c:x val="-1.9305808700761141E-2"/>
                  <c:y val="-1.02012577268919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7"/>
              <c:layout>
                <c:manualLayout>
                  <c:x val="1.1892670802854408E-3"/>
                  <c:y val="8.72643300185447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3.11727476657973E-2"/>
                  <c:y val="2.3183294224147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9"/>
              <c:layout>
                <c:manualLayout>
                  <c:x val="-1.8260358200170464E-3"/>
                  <c:y val="-1.35369085802265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1.1963405231365559E-2"/>
                  <c:y val="2.06994323202674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1"/>
              <c:layout>
                <c:manualLayout>
                  <c:x val="-2.7713344505379104E-2"/>
                  <c:y val="3.7774945447856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9.6407367383549471E-3"/>
                  <c:y val="-3.5090386421835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3"/>
              <c:layout>
                <c:manualLayout>
                  <c:x val="9.1182511781290644E-3"/>
                  <c:y val="-4.9253455776161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2.5598025982189222E-2"/>
                  <c:y val="2.20591126093203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5"/>
              <c:layout>
                <c:manualLayout>
                  <c:x val="1.6111471099508407E-2"/>
                  <c:y val="-7.62450929874924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6"/>
              <c:layout>
                <c:manualLayout>
                  <c:x val="-1.6907904158138603E-3"/>
                  <c:y val="9.248724343935269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7"/>
              <c:layout>
                <c:manualLayout>
                  <c:x val="-1.3776013609249184E-2"/>
                  <c:y val="4.4102655845283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8"/>
              <c:layout>
                <c:manualLayout>
                  <c:x val="-1.480100576598526E-2"/>
                  <c:y val="-3.5171025496773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9"/>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3.4108153172190937E-2"/>
                  <c:y val="-3.10738919929285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1"/>
              <c:layout>
                <c:manualLayout>
                  <c:x val="-2.4347144266894546E-2"/>
                  <c:y val="3.5013016352540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2"/>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108748513353915E-2"/>
                  <c:y val="-1.498372194963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8253247496892982E-3"/>
                  <c:y val="-2.56335761880232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5.8944658936450539E-5"/>
                  <c:y val="-3.76870993147200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722166528710635E-2"/>
                  <c:y val="4.46249055591617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3626591338026529E-2"/>
                  <c:y val="-1.95232036871698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1.6269736523640867E-3"/>
                  <c:y val="-2.61188942831198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1.06619274046781E-2"/>
                  <c:y val="1.203482734135897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1"/>
              <c:layout>
                <c:manualLayout>
                  <c:x val="-2.0691213801330185E-3"/>
                  <c:y val="-6.5611979836361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2.4003912255355773E-2"/>
                  <c:y val="-1.69680273284437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3"/>
              <c:layout>
                <c:manualLayout>
                  <c:x val="-4.2351190623683638E-3"/>
                  <c:y val="3.71186748708588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4"/>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5"/>
              <c:layout>
                <c:manualLayout>
                  <c:x val="-2.921657312027354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8260358200170908E-3"/>
                  <c:y val="1.437703327801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7"/>
              <c:layout>
                <c:manualLayout>
                  <c:x val="-1.8260358200171802E-3"/>
                  <c:y val="1.24243940790106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2.2128759386712389E-2"/>
                  <c:y val="-1.18257196497629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種族分析!$O$3:$O$612</c:f>
              <c:numCache>
                <c:formatCode>0.0_ </c:formatCode>
                <c:ptCount val="610"/>
                <c:pt idx="0">
                  <c:v>10.234452010141622</c:v>
                </c:pt>
                <c:pt idx="1">
                  <c:v>14.91381158204544</c:v>
                </c:pt>
                <c:pt idx="2">
                  <c:v>22.493293318207254</c:v>
                </c:pt>
                <c:pt idx="3">
                  <c:v>8.2658705567613318</c:v>
                </c:pt>
                <c:pt idx="4">
                  <c:v>13.153101184794942</c:v>
                </c:pt>
                <c:pt idx="5">
                  <c:v>20.548399106551507</c:v>
                </c:pt>
                <c:pt idx="6">
                  <c:v>10.891182146465624</c:v>
                </c:pt>
                <c:pt idx="7">
                  <c:v>15.725147185559511</c:v>
                </c:pt>
                <c:pt idx="8">
                  <c:v>23.945840329193548</c:v>
                </c:pt>
                <c:pt idx="9">
                  <c:v>5.9242512893907033</c:v>
                </c:pt>
                <c:pt idx="10">
                  <c:v>8.3890153880568512</c:v>
                </c:pt>
                <c:pt idx="11">
                  <c:v>14.408201073278372</c:v>
                </c:pt>
                <c:pt idx="12">
                  <c:v>5.2128559702933135</c:v>
                </c:pt>
                <c:pt idx="13">
                  <c:v>7.5044964182297482</c:v>
                </c:pt>
                <c:pt idx="14">
                  <c:v>14.462902977526475</c:v>
                </c:pt>
                <c:pt idx="15">
                  <c:v>6.9374646774280322</c:v>
                </c:pt>
                <c:pt idx="16">
                  <c:v>11.979927776900002</c:v>
                </c:pt>
                <c:pt idx="17">
                  <c:v>19.554431431865943</c:v>
                </c:pt>
                <c:pt idx="18">
                  <c:v>5.8204011217398932</c:v>
                </c:pt>
                <c:pt idx="19">
                  <c:v>5.8204011217398932</c:v>
                </c:pt>
                <c:pt idx="20">
                  <c:v>13.805478081598848</c:v>
                </c:pt>
                <c:pt idx="21">
                  <c:v>18.250802669741546</c:v>
                </c:pt>
                <c:pt idx="22">
                  <c:v>5.9699584543243436</c:v>
                </c:pt>
                <c:pt idx="23">
                  <c:v>14.730800929332826</c:v>
                </c:pt>
                <c:pt idx="24">
                  <c:v>8.0972711522073126</c:v>
                </c:pt>
                <c:pt idx="25">
                  <c:v>15.7470891147617</c:v>
                </c:pt>
                <c:pt idx="26">
                  <c:v>8.0308047413239425</c:v>
                </c:pt>
                <c:pt idx="27">
                  <c:v>15.581365072404523</c:v>
                </c:pt>
                <c:pt idx="28">
                  <c:v>15.829777825796238</c:v>
                </c:pt>
                <c:pt idx="29">
                  <c:v>11.580709001753577</c:v>
                </c:pt>
                <c:pt idx="30">
                  <c:v>12.273872089977255</c:v>
                </c:pt>
                <c:pt idx="31">
                  <c:v>20.22257801482106</c:v>
                </c:pt>
                <c:pt idx="32">
                  <c:v>22.048272671322842</c:v>
                </c:pt>
                <c:pt idx="33">
                  <c:v>9.6636054863184224</c:v>
                </c:pt>
                <c:pt idx="34">
                  <c:v>14.247319627157362</c:v>
                </c:pt>
                <c:pt idx="35">
                  <c:v>22.695246774400172</c:v>
                </c:pt>
                <c:pt idx="36">
                  <c:v>7.6883312911488524</c:v>
                </c:pt>
                <c:pt idx="37">
                  <c:v>12.238400655484037</c:v>
                </c:pt>
                <c:pt idx="38">
                  <c:v>19.381946034365093</c:v>
                </c:pt>
                <c:pt idx="39">
                  <c:v>13.093090274531912</c:v>
                </c:pt>
                <c:pt idx="40">
                  <c:v>22.403140659280211</c:v>
                </c:pt>
                <c:pt idx="41">
                  <c:v>9.2400798137326472</c:v>
                </c:pt>
                <c:pt idx="42">
                  <c:v>9.2400798137326472</c:v>
                </c:pt>
                <c:pt idx="43">
                  <c:v>21.15576030112857</c:v>
                </c:pt>
                <c:pt idx="44">
                  <c:v>21.421649318051692</c:v>
                </c:pt>
                <c:pt idx="45">
                  <c:v>8.9093562762501897</c:v>
                </c:pt>
                <c:pt idx="46">
                  <c:v>18.772146268680075</c:v>
                </c:pt>
                <c:pt idx="47">
                  <c:v>6.9374646774280322</c:v>
                </c:pt>
                <c:pt idx="48">
                  <c:v>17.868661966218806</c:v>
                </c:pt>
                <c:pt idx="49">
                  <c:v>10.308268953317775</c:v>
                </c:pt>
                <c:pt idx="50">
                  <c:v>14.323516174654292</c:v>
                </c:pt>
                <c:pt idx="51">
                  <c:v>19.478172339655895</c:v>
                </c:pt>
                <c:pt idx="52">
                  <c:v>8.2299148517763729</c:v>
                </c:pt>
                <c:pt idx="53">
                  <c:v>15.165021674205484</c:v>
                </c:pt>
                <c:pt idx="54">
                  <c:v>11.193140754713438</c:v>
                </c:pt>
                <c:pt idx="55">
                  <c:v>16.405192740249984</c:v>
                </c:pt>
                <c:pt idx="56">
                  <c:v>4.4368993425606522</c:v>
                </c:pt>
                <c:pt idx="57">
                  <c:v>4.5699320925727172</c:v>
                </c:pt>
                <c:pt idx="58">
                  <c:v>10.616253164743767</c:v>
                </c:pt>
                <c:pt idx="59">
                  <c:v>10.991528022230499</c:v>
                </c:pt>
                <c:pt idx="60">
                  <c:v>7.3046513566547322</c:v>
                </c:pt>
                <c:pt idx="61">
                  <c:v>7.3046513566547322</c:v>
                </c:pt>
                <c:pt idx="62">
                  <c:v>14.997563994638023</c:v>
                </c:pt>
                <c:pt idx="63">
                  <c:v>14.997563994638023</c:v>
                </c:pt>
                <c:pt idx="64">
                  <c:v>9.6076566251166362</c:v>
                </c:pt>
                <c:pt idx="65">
                  <c:v>19.881575043949972</c:v>
                </c:pt>
                <c:pt idx="66">
                  <c:v>7.5964601127329958</c:v>
                </c:pt>
                <c:pt idx="67">
                  <c:v>15.174779101896224</c:v>
                </c:pt>
                <c:pt idx="68">
                  <c:v>10.006053831868979</c:v>
                </c:pt>
                <c:pt idx="69">
                  <c:v>21.955961531636536</c:v>
                </c:pt>
                <c:pt idx="70">
                  <c:v>7.5964601127329958</c:v>
                </c:pt>
                <c:pt idx="71">
                  <c:v>13.833353424732445</c:v>
                </c:pt>
                <c:pt idx="72">
                  <c:v>23.84270045163241</c:v>
                </c:pt>
                <c:pt idx="73">
                  <c:v>6.0771680901863974</c:v>
                </c:pt>
                <c:pt idx="74">
                  <c:v>10.078523058143016</c:v>
                </c:pt>
                <c:pt idx="75">
                  <c:v>15.999927279003058</c:v>
                </c:pt>
                <c:pt idx="76">
                  <c:v>16.139563256239921</c:v>
                </c:pt>
                <c:pt idx="77">
                  <c:v>21.209485508963926</c:v>
                </c:pt>
                <c:pt idx="78">
                  <c:v>6.8062760669444717</c:v>
                </c:pt>
                <c:pt idx="79">
                  <c:v>10.968148718681171</c:v>
                </c:pt>
                <c:pt idx="80">
                  <c:v>17.170211057918269</c:v>
                </c:pt>
                <c:pt idx="81">
                  <c:v>12.241464289126577</c:v>
                </c:pt>
                <c:pt idx="82">
                  <c:v>24.366848008295637</c:v>
                </c:pt>
                <c:pt idx="83">
                  <c:v>11.104605556961323</c:v>
                </c:pt>
                <c:pt idx="84">
                  <c:v>11.104605556961323</c:v>
                </c:pt>
                <c:pt idx="85">
                  <c:v>15.768877386987274</c:v>
                </c:pt>
                <c:pt idx="86">
                  <c:v>15.768877386987274</c:v>
                </c:pt>
                <c:pt idx="87">
                  <c:v>23.342666236338019</c:v>
                </c:pt>
                <c:pt idx="88">
                  <c:v>23.342666236338019</c:v>
                </c:pt>
                <c:pt idx="89">
                  <c:v>12.120602011238985</c:v>
                </c:pt>
                <c:pt idx="90">
                  <c:v>17.263026135722413</c:v>
                </c:pt>
                <c:pt idx="91">
                  <c:v>14.38355816223177</c:v>
                </c:pt>
                <c:pt idx="92">
                  <c:v>24.377205911312263</c:v>
                </c:pt>
                <c:pt idx="93">
                  <c:v>8.2834343085794906</c:v>
                </c:pt>
                <c:pt idx="94">
                  <c:v>15.25044242744587</c:v>
                </c:pt>
                <c:pt idx="95">
                  <c:v>11.486274495427773</c:v>
                </c:pt>
                <c:pt idx="96">
                  <c:v>7.1578684358428148</c:v>
                </c:pt>
                <c:pt idx="97">
                  <c:v>14.66154029456904</c:v>
                </c:pt>
                <c:pt idx="98">
                  <c:v>13.652326915992122</c:v>
                </c:pt>
                <c:pt idx="99">
                  <c:v>23.114506847301936</c:v>
                </c:pt>
                <c:pt idx="100">
                  <c:v>12.413838661546503</c:v>
                </c:pt>
                <c:pt idx="101">
                  <c:v>12.413838661546503</c:v>
                </c:pt>
                <c:pt idx="102">
                  <c:v>25.235754888187099</c:v>
                </c:pt>
                <c:pt idx="103">
                  <c:v>25.235754888187099</c:v>
                </c:pt>
                <c:pt idx="104">
                  <c:v>9.7411358431341952</c:v>
                </c:pt>
                <c:pt idx="105">
                  <c:v>21.189313656926103</c:v>
                </c:pt>
                <c:pt idx="106">
                  <c:v>5.6274775357734503</c:v>
                </c:pt>
                <c:pt idx="107">
                  <c:v>9.9381200884471941</c:v>
                </c:pt>
                <c:pt idx="108">
                  <c:v>15.415177252974209</c:v>
                </c:pt>
                <c:pt idx="109">
                  <c:v>16.263327142806755</c:v>
                </c:pt>
                <c:pt idx="110">
                  <c:v>14.323516174654292</c:v>
                </c:pt>
                <c:pt idx="111">
                  <c:v>23.764642212213595</c:v>
                </c:pt>
                <c:pt idx="112">
                  <c:v>9.1520774081812846</c:v>
                </c:pt>
                <c:pt idx="113">
                  <c:v>17.065616874279836</c:v>
                </c:pt>
                <c:pt idx="114">
                  <c:v>9.6618952543295027</c:v>
                </c:pt>
                <c:pt idx="115">
                  <c:v>17.379243025441575</c:v>
                </c:pt>
                <c:pt idx="116">
                  <c:v>13.384028066150179</c:v>
                </c:pt>
                <c:pt idx="117">
                  <c:v>20.946505561394368</c:v>
                </c:pt>
                <c:pt idx="118">
                  <c:v>21.397515208882076</c:v>
                </c:pt>
                <c:pt idx="119">
                  <c:v>13.409677709127759</c:v>
                </c:pt>
                <c:pt idx="120">
                  <c:v>18.41626753548265</c:v>
                </c:pt>
                <c:pt idx="121">
                  <c:v>18.41626753548265</c:v>
                </c:pt>
                <c:pt idx="122">
                  <c:v>16.111638291245558</c:v>
                </c:pt>
                <c:pt idx="123">
                  <c:v>17.238136502095255</c:v>
                </c:pt>
                <c:pt idx="124">
                  <c:v>18.815415519222345</c:v>
                </c:pt>
                <c:pt idx="125">
                  <c:v>11.709859538994834</c:v>
                </c:pt>
                <c:pt idx="126">
                  <c:v>20.186765114295756</c:v>
                </c:pt>
                <c:pt idx="127">
                  <c:v>20.186765114295756</c:v>
                </c:pt>
                <c:pt idx="128">
                  <c:v>16.346864554631527</c:v>
                </c:pt>
                <c:pt idx="129">
                  <c:v>25.118099217015015</c:v>
                </c:pt>
                <c:pt idx="130">
                  <c:v>40.283159972166196</c:v>
                </c:pt>
                <c:pt idx="131">
                  <c:v>17.859070737403716</c:v>
                </c:pt>
                <c:pt idx="132">
                  <c:v>24.408746250172118</c:v>
                </c:pt>
                <c:pt idx="133">
                  <c:v>7.8873336417552435</c:v>
                </c:pt>
                <c:pt idx="134">
                  <c:v>15.14802578413971</c:v>
                </c:pt>
                <c:pt idx="135">
                  <c:v>10.160528881682392</c:v>
                </c:pt>
                <c:pt idx="136">
                  <c:v>18.387925646591608</c:v>
                </c:pt>
                <c:pt idx="137">
                  <c:v>8.4340382345327249</c:v>
                </c:pt>
                <c:pt idx="138">
                  <c:v>18.257923769268061</c:v>
                </c:pt>
                <c:pt idx="139">
                  <c:v>15.802358112146548</c:v>
                </c:pt>
                <c:pt idx="140">
                  <c:v>18.851018561230244</c:v>
                </c:pt>
                <c:pt idx="141">
                  <c:v>16.314605781694148</c:v>
                </c:pt>
                <c:pt idx="142">
                  <c:v>16.919824439837637</c:v>
                </c:pt>
                <c:pt idx="143">
                  <c:v>16.574708547010179</c:v>
                </c:pt>
                <c:pt idx="144">
                  <c:v>18.950871438399815</c:v>
                </c:pt>
                <c:pt idx="145">
                  <c:v>20.95884445206784</c:v>
                </c:pt>
                <c:pt idx="146">
                  <c:v>5.7882923109382585</c:v>
                </c:pt>
                <c:pt idx="147">
                  <c:v>25.024457651155835</c:v>
                </c:pt>
                <c:pt idx="148">
                  <c:v>29.989554851851263</c:v>
                </c:pt>
                <c:pt idx="149">
                  <c:v>9.1020299821898067</c:v>
                </c:pt>
                <c:pt idx="150">
                  <c:v>11.771672844933127</c:v>
                </c:pt>
                <c:pt idx="151">
                  <c:v>28.178663227427577</c:v>
                </c:pt>
                <c:pt idx="152">
                  <c:v>18.950871438399815</c:v>
                </c:pt>
                <c:pt idx="153">
                  <c:v>18.700643920657413</c:v>
                </c:pt>
                <c:pt idx="154">
                  <c:v>14.997563994638023</c:v>
                </c:pt>
                <c:pt idx="155">
                  <c:v>11.671371932117495</c:v>
                </c:pt>
                <c:pt idx="156">
                  <c:v>21.549238745044526</c:v>
                </c:pt>
                <c:pt idx="157">
                  <c:v>10.090589496850457</c:v>
                </c:pt>
                <c:pt idx="158">
                  <c:v>18.41626753548265</c:v>
                </c:pt>
                <c:pt idx="159">
                  <c:v>19.585335717736957</c:v>
                </c:pt>
                <c:pt idx="160">
                  <c:v>34.614491035979114</c:v>
                </c:pt>
                <c:pt idx="161">
                  <c:v>29.041660544432798</c:v>
                </c:pt>
                <c:pt idx="162">
                  <c:v>23.946160172956571</c:v>
                </c:pt>
                <c:pt idx="163">
                  <c:v>23.531471714845487</c:v>
                </c:pt>
                <c:pt idx="164">
                  <c:v>8.3078931381061327</c:v>
                </c:pt>
                <c:pt idx="165">
                  <c:v>14.322468736117193</c:v>
                </c:pt>
                <c:pt idx="166">
                  <c:v>25.506132863120566</c:v>
                </c:pt>
                <c:pt idx="167">
                  <c:v>34.02767233076424</c:v>
                </c:pt>
                <c:pt idx="168">
                  <c:v>24.380615502210997</c:v>
                </c:pt>
                <c:pt idx="169">
                  <c:v>28.635167714093978</c:v>
                </c:pt>
                <c:pt idx="170">
                  <c:v>11.040648169675869</c:v>
                </c:pt>
                <c:pt idx="171">
                  <c:v>15.912351318720932</c:v>
                </c:pt>
                <c:pt idx="172">
                  <c:v>23.716854680240957</c:v>
                </c:pt>
                <c:pt idx="173">
                  <c:v>8.2658705567613318</c:v>
                </c:pt>
                <c:pt idx="174">
                  <c:v>13.153101184794942</c:v>
                </c:pt>
                <c:pt idx="175">
                  <c:v>20.548399106551507</c:v>
                </c:pt>
                <c:pt idx="176">
                  <c:v>10.721313982346278</c:v>
                </c:pt>
                <c:pt idx="177">
                  <c:v>15.52771419013515</c:v>
                </c:pt>
                <c:pt idx="178">
                  <c:v>23.272354875850652</c:v>
                </c:pt>
                <c:pt idx="179">
                  <c:v>6.4749670322661634</c:v>
                </c:pt>
                <c:pt idx="180">
                  <c:v>16.769399871117578</c:v>
                </c:pt>
                <c:pt idx="181">
                  <c:v>10.113078861175898</c:v>
                </c:pt>
                <c:pt idx="182">
                  <c:v>22.580908001202054</c:v>
                </c:pt>
                <c:pt idx="183">
                  <c:v>10.147613424013672</c:v>
                </c:pt>
                <c:pt idx="184">
                  <c:v>16.914627366437323</c:v>
                </c:pt>
                <c:pt idx="185">
                  <c:v>6.9374646774280322</c:v>
                </c:pt>
                <c:pt idx="186">
                  <c:v>14.627679276323935</c:v>
                </c:pt>
                <c:pt idx="187">
                  <c:v>22.277653211330495</c:v>
                </c:pt>
                <c:pt idx="188">
                  <c:v>12.595755125655822</c:v>
                </c:pt>
                <c:pt idx="189">
                  <c:v>23.985417080810464</c:v>
                </c:pt>
                <c:pt idx="190">
                  <c:v>4.0305030695796225</c:v>
                </c:pt>
                <c:pt idx="191">
                  <c:v>8.3068163793921634</c:v>
                </c:pt>
                <c:pt idx="192">
                  <c:v>6.2834144426281764</c:v>
                </c:pt>
                <c:pt idx="193">
                  <c:v>9.3420448176552799</c:v>
                </c:pt>
                <c:pt idx="194">
                  <c:v>17.065616874279836</c:v>
                </c:pt>
                <c:pt idx="195">
                  <c:v>8.1030232338694841</c:v>
                </c:pt>
                <c:pt idx="196">
                  <c:v>15.878669752991623</c:v>
                </c:pt>
                <c:pt idx="197">
                  <c:v>8.7986673492245941</c:v>
                </c:pt>
                <c:pt idx="198">
                  <c:v>13.190037596702329</c:v>
                </c:pt>
                <c:pt idx="199">
                  <c:v>22.273672492716997</c:v>
                </c:pt>
                <c:pt idx="200">
                  <c:v>21.232873158556465</c:v>
                </c:pt>
                <c:pt idx="201">
                  <c:v>11.621938301611795</c:v>
                </c:pt>
                <c:pt idx="202">
                  <c:v>22.114284627241798</c:v>
                </c:pt>
                <c:pt idx="203">
                  <c:v>19.382219585599508</c:v>
                </c:pt>
                <c:pt idx="204">
                  <c:v>23.323275002168234</c:v>
                </c:pt>
                <c:pt idx="205">
                  <c:v>7.8975817455029089</c:v>
                </c:pt>
                <c:pt idx="206">
                  <c:v>12.266408876857406</c:v>
                </c:pt>
                <c:pt idx="207">
                  <c:v>20.95884445206784</c:v>
                </c:pt>
                <c:pt idx="208">
                  <c:v>11.605813297092039</c:v>
                </c:pt>
                <c:pt idx="209">
                  <c:v>4.8471146913196668</c:v>
                </c:pt>
                <c:pt idx="210">
                  <c:v>16.416396913912102</c:v>
                </c:pt>
                <c:pt idx="211">
                  <c:v>11.156901196027919</c:v>
                </c:pt>
                <c:pt idx="212">
                  <c:v>7.6550389478933383</c:v>
                </c:pt>
                <c:pt idx="213">
                  <c:v>20.265238090897039</c:v>
                </c:pt>
                <c:pt idx="214">
                  <c:v>18.365402482847699</c:v>
                </c:pt>
                <c:pt idx="215">
                  <c:v>30.619830377791811</c:v>
                </c:pt>
                <c:pt idx="216">
                  <c:v>10.022217979773085</c:v>
                </c:pt>
                <c:pt idx="217">
                  <c:v>24.377205911312263</c:v>
                </c:pt>
                <c:pt idx="218">
                  <c:v>15.829777825796238</c:v>
                </c:pt>
                <c:pt idx="219">
                  <c:v>9.1020299821898067</c:v>
                </c:pt>
                <c:pt idx="220">
                  <c:v>27.384032573394919</c:v>
                </c:pt>
                <c:pt idx="221">
                  <c:v>15.475616706658645</c:v>
                </c:pt>
                <c:pt idx="222">
                  <c:v>11.735514138396727</c:v>
                </c:pt>
                <c:pt idx="223">
                  <c:v>22.942682888746099</c:v>
                </c:pt>
                <c:pt idx="224">
                  <c:v>19.258881261593402</c:v>
                </c:pt>
                <c:pt idx="225">
                  <c:v>19.117120181939498</c:v>
                </c:pt>
                <c:pt idx="226">
                  <c:v>28.637986180331431</c:v>
                </c:pt>
                <c:pt idx="227">
                  <c:v>9.8400969285950399</c:v>
                </c:pt>
                <c:pt idx="228">
                  <c:v>18.149533721832572</c:v>
                </c:pt>
                <c:pt idx="229">
                  <c:v>15.174779101896224</c:v>
                </c:pt>
                <c:pt idx="230">
                  <c:v>19.821555003045525</c:v>
                </c:pt>
                <c:pt idx="231">
                  <c:v>19.376311868993135</c:v>
                </c:pt>
                <c:pt idx="232">
                  <c:v>21.537258447948144</c:v>
                </c:pt>
                <c:pt idx="233">
                  <c:v>14.362167585571076</c:v>
                </c:pt>
                <c:pt idx="234">
                  <c:v>10.565398456010723</c:v>
                </c:pt>
                <c:pt idx="235">
                  <c:v>19.585187180436598</c:v>
                </c:pt>
                <c:pt idx="236">
                  <c:v>6.7898291898190077</c:v>
                </c:pt>
                <c:pt idx="237">
                  <c:v>16.818570771348323</c:v>
                </c:pt>
                <c:pt idx="238">
                  <c:v>7.4781253309304985</c:v>
                </c:pt>
                <c:pt idx="239">
                  <c:v>20.460376317163448</c:v>
                </c:pt>
                <c:pt idx="240">
                  <c:v>15.14802578413971</c:v>
                </c:pt>
                <c:pt idx="241">
                  <c:v>6.1989723137976496</c:v>
                </c:pt>
                <c:pt idx="242">
                  <c:v>17.000981256614722</c:v>
                </c:pt>
                <c:pt idx="243">
                  <c:v>8.6594094078104877</c:v>
                </c:pt>
                <c:pt idx="244">
                  <c:v>22.506365751040963</c:v>
                </c:pt>
                <c:pt idx="245">
                  <c:v>22.506365751040963</c:v>
                </c:pt>
                <c:pt idx="246">
                  <c:v>8.1236125898851004</c:v>
                </c:pt>
                <c:pt idx="247">
                  <c:v>17.291426519664743</c:v>
                </c:pt>
                <c:pt idx="248">
                  <c:v>21.958164334217948</c:v>
                </c:pt>
                <c:pt idx="249">
                  <c:v>14.38355816223177</c:v>
                </c:pt>
                <c:pt idx="250">
                  <c:v>23.946160172956571</c:v>
                </c:pt>
                <c:pt idx="251">
                  <c:v>22.47768337276845</c:v>
                </c:pt>
                <c:pt idx="252">
                  <c:v>15.696894029693036</c:v>
                </c:pt>
                <c:pt idx="253">
                  <c:v>9.1461652235769293</c:v>
                </c:pt>
                <c:pt idx="254">
                  <c:v>5.8516692802290686</c:v>
                </c:pt>
                <c:pt idx="255">
                  <c:v>17.929890295750834</c:v>
                </c:pt>
                <c:pt idx="256">
                  <c:v>8.7355052849204196</c:v>
                </c:pt>
                <c:pt idx="257">
                  <c:v>9.4904043366220971</c:v>
                </c:pt>
                <c:pt idx="258">
                  <c:v>9.3403001889208053</c:v>
                </c:pt>
                <c:pt idx="259">
                  <c:v>25.772921835780942</c:v>
                </c:pt>
                <c:pt idx="260">
                  <c:v>51.269579476479208</c:v>
                </c:pt>
                <c:pt idx="261">
                  <c:v>24.973043535886077</c:v>
                </c:pt>
                <c:pt idx="262">
                  <c:v>26.941187063411267</c:v>
                </c:pt>
                <c:pt idx="263">
                  <c:v>31.291941022591619</c:v>
                </c:pt>
                <c:pt idx="264">
                  <c:v>9.4467092077272348</c:v>
                </c:pt>
                <c:pt idx="265">
                  <c:v>15.475616706658645</c:v>
                </c:pt>
                <c:pt idx="266">
                  <c:v>28.310353098553954</c:v>
                </c:pt>
                <c:pt idx="267">
                  <c:v>40.37613629777286</c:v>
                </c:pt>
                <c:pt idx="268">
                  <c:v>30.749973382991495</c:v>
                </c:pt>
                <c:pt idx="269">
                  <c:v>28.635167714093978</c:v>
                </c:pt>
                <c:pt idx="270">
                  <c:v>8.4616947273245451</c:v>
                </c:pt>
                <c:pt idx="271">
                  <c:v>11.580709001753577</c:v>
                </c:pt>
                <c:pt idx="272">
                  <c:v>18.762057460081433</c:v>
                </c:pt>
                <c:pt idx="273">
                  <c:v>8.4304539476914773</c:v>
                </c:pt>
                <c:pt idx="274">
                  <c:v>12.517094001427703</c:v>
                </c:pt>
                <c:pt idx="275">
                  <c:v>17.781638559214379</c:v>
                </c:pt>
                <c:pt idx="276">
                  <c:v>9.4467092077272348</c:v>
                </c:pt>
                <c:pt idx="277">
                  <c:v>15.475616706658645</c:v>
                </c:pt>
                <c:pt idx="278">
                  <c:v>24.762340426311503</c:v>
                </c:pt>
                <c:pt idx="279">
                  <c:v>5.6420446344408122</c:v>
                </c:pt>
                <c:pt idx="280">
                  <c:v>15.381935104827907</c:v>
                </c:pt>
                <c:pt idx="281">
                  <c:v>7.2300066831279439</c:v>
                </c:pt>
                <c:pt idx="282">
                  <c:v>16.129313056584472</c:v>
                </c:pt>
                <c:pt idx="283">
                  <c:v>6.2440758881145833</c:v>
                </c:pt>
                <c:pt idx="284">
                  <c:v>8.1420550093058122</c:v>
                </c:pt>
                <c:pt idx="285">
                  <c:v>11.014436430537842</c:v>
                </c:pt>
                <c:pt idx="286">
                  <c:v>8.1420550093058122</c:v>
                </c:pt>
                <c:pt idx="287">
                  <c:v>16.487159792543878</c:v>
                </c:pt>
                <c:pt idx="288">
                  <c:v>7.2314304358966099</c:v>
                </c:pt>
                <c:pt idx="289">
                  <c:v>12.865354498553405</c:v>
                </c:pt>
                <c:pt idx="290">
                  <c:v>21.24788778100481</c:v>
                </c:pt>
                <c:pt idx="291">
                  <c:v>7.2314304358966099</c:v>
                </c:pt>
                <c:pt idx="292">
                  <c:v>10.118294842180999</c:v>
                </c:pt>
                <c:pt idx="293">
                  <c:v>17.027059412080064</c:v>
                </c:pt>
                <c:pt idx="294">
                  <c:v>6.0450478226151558</c:v>
                </c:pt>
                <c:pt idx="295">
                  <c:v>13.297890251203576</c:v>
                </c:pt>
                <c:pt idx="296">
                  <c:v>6.0450478226151558</c:v>
                </c:pt>
                <c:pt idx="297">
                  <c:v>17.459672345255875</c:v>
                </c:pt>
                <c:pt idx="298">
                  <c:v>4.9777947639514863</c:v>
                </c:pt>
                <c:pt idx="299">
                  <c:v>7.9327456812809354</c:v>
                </c:pt>
                <c:pt idx="300">
                  <c:v>20.698378426139811</c:v>
                </c:pt>
                <c:pt idx="301">
                  <c:v>7.9588201604080373</c:v>
                </c:pt>
                <c:pt idx="302">
                  <c:v>17.048162182055698</c:v>
                </c:pt>
                <c:pt idx="303">
                  <c:v>12.078950418783263</c:v>
                </c:pt>
                <c:pt idx="304">
                  <c:v>14.997665858892891</c:v>
                </c:pt>
                <c:pt idx="305">
                  <c:v>10.475198214470781</c:v>
                </c:pt>
                <c:pt idx="306">
                  <c:v>18.186397100743729</c:v>
                </c:pt>
                <c:pt idx="307">
                  <c:v>29.57131755837533</c:v>
                </c:pt>
                <c:pt idx="308">
                  <c:v>9.4290303674132421</c:v>
                </c:pt>
                <c:pt idx="309">
                  <c:v>12.326671265855522</c:v>
                </c:pt>
                <c:pt idx="310">
                  <c:v>0.82221803584332231</c:v>
                </c:pt>
                <c:pt idx="311">
                  <c:v>6.0297073213636034</c:v>
                </c:pt>
                <c:pt idx="312">
                  <c:v>11.814946385675805</c:v>
                </c:pt>
                <c:pt idx="313">
                  <c:v>20.934268618233869</c:v>
                </c:pt>
                <c:pt idx="314">
                  <c:v>7.8056164083524564</c:v>
                </c:pt>
                <c:pt idx="315">
                  <c:v>23.177765787849697</c:v>
                </c:pt>
                <c:pt idx="316">
                  <c:v>7.6448447174258458</c:v>
                </c:pt>
                <c:pt idx="317">
                  <c:v>14.222144221525978</c:v>
                </c:pt>
                <c:pt idx="318">
                  <c:v>8.3068163793921634</c:v>
                </c:pt>
                <c:pt idx="319">
                  <c:v>14.911530105932172</c:v>
                </c:pt>
                <c:pt idx="320">
                  <c:v>12.806908579690896</c:v>
                </c:pt>
                <c:pt idx="321">
                  <c:v>13.184434443905294</c:v>
                </c:pt>
                <c:pt idx="322">
                  <c:v>13.184434443905294</c:v>
                </c:pt>
                <c:pt idx="323">
                  <c:v>19.35733297647543</c:v>
                </c:pt>
                <c:pt idx="324">
                  <c:v>26.147606020301303</c:v>
                </c:pt>
                <c:pt idx="325">
                  <c:v>8.1311891632749767</c:v>
                </c:pt>
                <c:pt idx="326">
                  <c:v>15.664284944296273</c:v>
                </c:pt>
                <c:pt idx="327">
                  <c:v>7.3046513566547322</c:v>
                </c:pt>
                <c:pt idx="328">
                  <c:v>14.911530105932172</c:v>
                </c:pt>
                <c:pt idx="329">
                  <c:v>13.727356942737721</c:v>
                </c:pt>
                <c:pt idx="330">
                  <c:v>15.498329256414271</c:v>
                </c:pt>
                <c:pt idx="331">
                  <c:v>17.604329516357222</c:v>
                </c:pt>
                <c:pt idx="332">
                  <c:v>17.604329516357222</c:v>
                </c:pt>
                <c:pt idx="333">
                  <c:v>12.426707773506987</c:v>
                </c:pt>
                <c:pt idx="334">
                  <c:v>12.214238708588743</c:v>
                </c:pt>
                <c:pt idx="335">
                  <c:v>22.929173523204245</c:v>
                </c:pt>
                <c:pt idx="336">
                  <c:v>4.6255599221849808</c:v>
                </c:pt>
                <c:pt idx="337">
                  <c:v>10.62318569446513</c:v>
                </c:pt>
                <c:pt idx="338">
                  <c:v>14.205377687640729</c:v>
                </c:pt>
                <c:pt idx="339">
                  <c:v>21.341428874575627</c:v>
                </c:pt>
                <c:pt idx="340">
                  <c:v>9.2905183190570249</c:v>
                </c:pt>
                <c:pt idx="341">
                  <c:v>15.755867792119721</c:v>
                </c:pt>
                <c:pt idx="342">
                  <c:v>21.719444727315562</c:v>
                </c:pt>
                <c:pt idx="343">
                  <c:v>13.125246075838445</c:v>
                </c:pt>
                <c:pt idx="344">
                  <c:v>22.398275819480677</c:v>
                </c:pt>
                <c:pt idx="345">
                  <c:v>12.604346182550776</c:v>
                </c:pt>
                <c:pt idx="346">
                  <c:v>7.7375195851972354</c:v>
                </c:pt>
                <c:pt idx="347">
                  <c:v>9.9281512497619726</c:v>
                </c:pt>
                <c:pt idx="348">
                  <c:v>20.470372033538077</c:v>
                </c:pt>
                <c:pt idx="349">
                  <c:v>7.8940005479751454</c:v>
                </c:pt>
                <c:pt idx="350">
                  <c:v>13.768803401570473</c:v>
                </c:pt>
                <c:pt idx="351">
                  <c:v>11.762656256633106</c:v>
                </c:pt>
                <c:pt idx="352">
                  <c:v>22.586367882506561</c:v>
                </c:pt>
                <c:pt idx="353">
                  <c:v>15.01879369547698</c:v>
                </c:pt>
                <c:pt idx="354">
                  <c:v>14.432161314152777</c:v>
                </c:pt>
                <c:pt idx="355">
                  <c:v>20.563845785159398</c:v>
                </c:pt>
                <c:pt idx="356">
                  <c:v>20.563845785159398</c:v>
                </c:pt>
                <c:pt idx="357">
                  <c:v>8.5530513861882618</c:v>
                </c:pt>
                <c:pt idx="358">
                  <c:v>22.292102974234613</c:v>
                </c:pt>
                <c:pt idx="359">
                  <c:v>9.1443498353070805</c:v>
                </c:pt>
                <c:pt idx="360">
                  <c:v>15.266011141986805</c:v>
                </c:pt>
                <c:pt idx="361">
                  <c:v>10.560089317132253</c:v>
                </c:pt>
                <c:pt idx="362">
                  <c:v>21.719158936755061</c:v>
                </c:pt>
                <c:pt idx="363">
                  <c:v>16.409995683262167</c:v>
                </c:pt>
                <c:pt idx="364">
                  <c:v>24.086761897228868</c:v>
                </c:pt>
                <c:pt idx="365">
                  <c:v>9.4154066348471872</c:v>
                </c:pt>
                <c:pt idx="366">
                  <c:v>20.129975174530301</c:v>
                </c:pt>
                <c:pt idx="367">
                  <c:v>5.7882923109382585</c:v>
                </c:pt>
                <c:pt idx="368">
                  <c:v>28.491744618009445</c:v>
                </c:pt>
                <c:pt idx="369">
                  <c:v>16.034934169310464</c:v>
                </c:pt>
                <c:pt idx="370">
                  <c:v>16.034934169310464</c:v>
                </c:pt>
                <c:pt idx="371">
                  <c:v>16.034934169310464</c:v>
                </c:pt>
                <c:pt idx="372">
                  <c:v>16.034934169310464</c:v>
                </c:pt>
                <c:pt idx="373">
                  <c:v>6.6732521431208864</c:v>
                </c:pt>
                <c:pt idx="374">
                  <c:v>14.024692227160871</c:v>
                </c:pt>
                <c:pt idx="375">
                  <c:v>9.6983292897316922</c:v>
                </c:pt>
                <c:pt idx="376">
                  <c:v>17.542886805777936</c:v>
                </c:pt>
                <c:pt idx="377">
                  <c:v>23.19634820718699</c:v>
                </c:pt>
                <c:pt idx="378">
                  <c:v>19.758286834230631</c:v>
                </c:pt>
                <c:pt idx="379">
                  <c:v>13.561619752053531</c:v>
                </c:pt>
                <c:pt idx="380">
                  <c:v>13.494780982474641</c:v>
                </c:pt>
                <c:pt idx="381">
                  <c:v>9.6076566251166362</c:v>
                </c:pt>
                <c:pt idx="382">
                  <c:v>19.881575043949972</c:v>
                </c:pt>
                <c:pt idx="383">
                  <c:v>11.323843071752174</c:v>
                </c:pt>
                <c:pt idx="384">
                  <c:v>18.260906915891955</c:v>
                </c:pt>
                <c:pt idx="385">
                  <c:v>26.637595901064564</c:v>
                </c:pt>
                <c:pt idx="386">
                  <c:v>10.55339801608635</c:v>
                </c:pt>
                <c:pt idx="387">
                  <c:v>16.914627366437323</c:v>
                </c:pt>
                <c:pt idx="388">
                  <c:v>16.914627366437323</c:v>
                </c:pt>
                <c:pt idx="389">
                  <c:v>27.875223179442433</c:v>
                </c:pt>
                <c:pt idx="390">
                  <c:v>11.23434740259615</c:v>
                </c:pt>
                <c:pt idx="391">
                  <c:v>8.8873645835854909</c:v>
                </c:pt>
                <c:pt idx="392">
                  <c:v>16.661167851366621</c:v>
                </c:pt>
                <c:pt idx="393">
                  <c:v>23.066614340230711</c:v>
                </c:pt>
                <c:pt idx="394">
                  <c:v>11.104605556961323</c:v>
                </c:pt>
                <c:pt idx="395">
                  <c:v>17.620199623272278</c:v>
                </c:pt>
                <c:pt idx="396">
                  <c:v>26.100704108301127</c:v>
                </c:pt>
                <c:pt idx="397">
                  <c:v>33.027327099933025</c:v>
                </c:pt>
                <c:pt idx="398">
                  <c:v>33.027327099933025</c:v>
                </c:pt>
                <c:pt idx="399">
                  <c:v>31.049727516930727</c:v>
                </c:pt>
                <c:pt idx="400">
                  <c:v>27.703486412470539</c:v>
                </c:pt>
                <c:pt idx="401">
                  <c:v>24.64354992410227</c:v>
                </c:pt>
                <c:pt idx="402">
                  <c:v>28.010511725981697</c:v>
                </c:pt>
                <c:pt idx="403">
                  <c:v>28.010511725981697</c:v>
                </c:pt>
                <c:pt idx="404">
                  <c:v>22.984129582676449</c:v>
                </c:pt>
                <c:pt idx="405">
                  <c:v>28.635167714093978</c:v>
                </c:pt>
                <c:pt idx="406">
                  <c:v>5.5247140340933738</c:v>
                </c:pt>
                <c:pt idx="407">
                  <c:v>18.680154674038551</c:v>
                </c:pt>
                <c:pt idx="408">
                  <c:v>25.735729340058686</c:v>
                </c:pt>
                <c:pt idx="409">
                  <c:v>11.19175463657065</c:v>
                </c:pt>
                <c:pt idx="410">
                  <c:v>11.439476573082974</c:v>
                </c:pt>
                <c:pt idx="411">
                  <c:v>17.194747471064154</c:v>
                </c:pt>
                <c:pt idx="412">
                  <c:v>25.239032752683102</c:v>
                </c:pt>
                <c:pt idx="413">
                  <c:v>8.2954930714779174</c:v>
                </c:pt>
                <c:pt idx="414">
                  <c:v>12.11684123720743</c:v>
                </c:pt>
                <c:pt idx="415">
                  <c:v>18.147707554918206</c:v>
                </c:pt>
                <c:pt idx="416">
                  <c:v>10.50175583390569</c:v>
                </c:pt>
                <c:pt idx="417">
                  <c:v>15.177451058652148</c:v>
                </c:pt>
                <c:pt idx="418">
                  <c:v>22.966168926601892</c:v>
                </c:pt>
                <c:pt idx="419">
                  <c:v>5.8194430802296377</c:v>
                </c:pt>
                <c:pt idx="420">
                  <c:v>10.091354452587051</c:v>
                </c:pt>
                <c:pt idx="421">
                  <c:v>18.370047545548267</c:v>
                </c:pt>
                <c:pt idx="422">
                  <c:v>8.6332893763548846</c:v>
                </c:pt>
                <c:pt idx="423">
                  <c:v>15.362746842390241</c:v>
                </c:pt>
                <c:pt idx="424">
                  <c:v>6.6995136229525905</c:v>
                </c:pt>
                <c:pt idx="425">
                  <c:v>13.102558883458672</c:v>
                </c:pt>
                <c:pt idx="426">
                  <c:v>6.6411802148631498</c:v>
                </c:pt>
                <c:pt idx="427">
                  <c:v>10.745405435985713</c:v>
                </c:pt>
                <c:pt idx="428">
                  <c:v>19.28785891769342</c:v>
                </c:pt>
                <c:pt idx="429">
                  <c:v>9.5222196553733394</c:v>
                </c:pt>
                <c:pt idx="430">
                  <c:v>18.337149681993772</c:v>
                </c:pt>
                <c:pt idx="431">
                  <c:v>9.153695648496738</c:v>
                </c:pt>
                <c:pt idx="432">
                  <c:v>16.505180735980456</c:v>
                </c:pt>
                <c:pt idx="433">
                  <c:v>13.161468890534554</c:v>
                </c:pt>
                <c:pt idx="434">
                  <c:v>25.81788959431795</c:v>
                </c:pt>
                <c:pt idx="435">
                  <c:v>7.6691447526887302</c:v>
                </c:pt>
                <c:pt idx="436">
                  <c:v>7.6691447526887302</c:v>
                </c:pt>
                <c:pt idx="437">
                  <c:v>7.6691447526887302</c:v>
                </c:pt>
                <c:pt idx="438">
                  <c:v>17.939935086247118</c:v>
                </c:pt>
                <c:pt idx="439">
                  <c:v>17.539991135303982</c:v>
                </c:pt>
                <c:pt idx="440">
                  <c:v>17.939935086247118</c:v>
                </c:pt>
                <c:pt idx="441">
                  <c:v>12.115880073591626</c:v>
                </c:pt>
                <c:pt idx="442">
                  <c:v>6.6465921189969004</c:v>
                </c:pt>
                <c:pt idx="443">
                  <c:v>20.604829043286678</c:v>
                </c:pt>
                <c:pt idx="444">
                  <c:v>17.298702947547607</c:v>
                </c:pt>
                <c:pt idx="445">
                  <c:v>7.7437938740130381</c:v>
                </c:pt>
                <c:pt idx="446">
                  <c:v>15.573703825905316</c:v>
                </c:pt>
                <c:pt idx="447">
                  <c:v>8.8114902627607172</c:v>
                </c:pt>
                <c:pt idx="448">
                  <c:v>17.321798026237872</c:v>
                </c:pt>
                <c:pt idx="449">
                  <c:v>17.321798026237872</c:v>
                </c:pt>
                <c:pt idx="450">
                  <c:v>13.554432570435431</c:v>
                </c:pt>
                <c:pt idx="451">
                  <c:v>13.554432570435431</c:v>
                </c:pt>
                <c:pt idx="452">
                  <c:v>22.721630586763347</c:v>
                </c:pt>
                <c:pt idx="453">
                  <c:v>22.721630586763347</c:v>
                </c:pt>
                <c:pt idx="454">
                  <c:v>17.194747471064154</c:v>
                </c:pt>
                <c:pt idx="455">
                  <c:v>12.252377737819875</c:v>
                </c:pt>
                <c:pt idx="456">
                  <c:v>21.873083806924591</c:v>
                </c:pt>
                <c:pt idx="457">
                  <c:v>11.021533554748002</c:v>
                </c:pt>
                <c:pt idx="458">
                  <c:v>19.941598221891809</c:v>
                </c:pt>
                <c:pt idx="459">
                  <c:v>18.495277550663186</c:v>
                </c:pt>
                <c:pt idx="460">
                  <c:v>16.179145931805628</c:v>
                </c:pt>
                <c:pt idx="461">
                  <c:v>8.4405112363699963</c:v>
                </c:pt>
                <c:pt idx="462">
                  <c:v>15.641131323842158</c:v>
                </c:pt>
                <c:pt idx="463">
                  <c:v>8.963128488943779</c:v>
                </c:pt>
                <c:pt idx="464">
                  <c:v>10.597179345222623</c:v>
                </c:pt>
                <c:pt idx="465">
                  <c:v>20.152802677448328</c:v>
                </c:pt>
                <c:pt idx="466">
                  <c:v>15.271079784885783</c:v>
                </c:pt>
                <c:pt idx="467">
                  <c:v>21.96033026968934</c:v>
                </c:pt>
                <c:pt idx="468">
                  <c:v>12.579110905947132</c:v>
                </c:pt>
                <c:pt idx="469">
                  <c:v>8.7234349382781744</c:v>
                </c:pt>
                <c:pt idx="470">
                  <c:v>12.855876330482863</c:v>
                </c:pt>
                <c:pt idx="471">
                  <c:v>12.095315009889811</c:v>
                </c:pt>
                <c:pt idx="472">
                  <c:v>17.377235435268801</c:v>
                </c:pt>
                <c:pt idx="473">
                  <c:v>9.5194517929469189</c:v>
                </c:pt>
                <c:pt idx="474">
                  <c:v>14.486242142186075</c:v>
                </c:pt>
                <c:pt idx="475">
                  <c:v>28.33905691033922</c:v>
                </c:pt>
                <c:pt idx="476">
                  <c:v>22.471373633341095</c:v>
                </c:pt>
                <c:pt idx="477">
                  <c:v>7.3046513566547322</c:v>
                </c:pt>
                <c:pt idx="478">
                  <c:v>16.497432444782177</c:v>
                </c:pt>
                <c:pt idx="479">
                  <c:v>13.830821259396412</c:v>
                </c:pt>
                <c:pt idx="480">
                  <c:v>28.104716946858385</c:v>
                </c:pt>
                <c:pt idx="481">
                  <c:v>12.373436969262414</c:v>
                </c:pt>
                <c:pt idx="482">
                  <c:v>21.63439914734175</c:v>
                </c:pt>
                <c:pt idx="483">
                  <c:v>7.9004231888357168</c:v>
                </c:pt>
                <c:pt idx="484">
                  <c:v>17.379034804269065</c:v>
                </c:pt>
                <c:pt idx="485">
                  <c:v>16.345659634605486</c:v>
                </c:pt>
                <c:pt idx="486">
                  <c:v>11.121481925780097</c:v>
                </c:pt>
                <c:pt idx="487">
                  <c:v>18.649403389452385</c:v>
                </c:pt>
                <c:pt idx="488">
                  <c:v>15.023551014910169</c:v>
                </c:pt>
                <c:pt idx="489">
                  <c:v>11.637644126131432</c:v>
                </c:pt>
                <c:pt idx="490">
                  <c:v>21.102252953055931</c:v>
                </c:pt>
                <c:pt idx="491">
                  <c:v>18.939857070894387</c:v>
                </c:pt>
                <c:pt idx="492">
                  <c:v>21.88919234793633</c:v>
                </c:pt>
                <c:pt idx="493">
                  <c:v>27.241388426645454</c:v>
                </c:pt>
                <c:pt idx="494">
                  <c:v>29.309542917188541</c:v>
                </c:pt>
                <c:pt idx="495">
                  <c:v>25.775892380143148</c:v>
                </c:pt>
                <c:pt idx="496">
                  <c:v>19.102874994153993</c:v>
                </c:pt>
                <c:pt idx="497">
                  <c:v>19.944386927760771</c:v>
                </c:pt>
                <c:pt idx="498">
                  <c:v>26.081856073639941</c:v>
                </c:pt>
                <c:pt idx="499">
                  <c:v>20.22873008441017</c:v>
                </c:pt>
                <c:pt idx="500">
                  <c:v>21.954677671020264</c:v>
                </c:pt>
                <c:pt idx="501">
                  <c:v>20.835701807126558</c:v>
                </c:pt>
                <c:pt idx="502">
                  <c:v>24.435853975867914</c:v>
                </c:pt>
                <c:pt idx="503">
                  <c:v>22.92594453100476</c:v>
                </c:pt>
                <c:pt idx="504">
                  <c:v>19.418494891860234</c:v>
                </c:pt>
                <c:pt idx="505">
                  <c:v>20.698378426139811</c:v>
                </c:pt>
                <c:pt idx="506">
                  <c:v>25.050300193208958</c:v>
                </c:pt>
                <c:pt idx="507">
                  <c:v>19.81335670374305</c:v>
                </c:pt>
                <c:pt idx="508">
                  <c:v>17.048162182055698</c:v>
                </c:pt>
                <c:pt idx="509">
                  <c:v>28.47510496485706</c:v>
                </c:pt>
                <c:pt idx="510">
                  <c:v>24.64354992410227</c:v>
                </c:pt>
                <c:pt idx="511">
                  <c:v>17.964397377595802</c:v>
                </c:pt>
                <c:pt idx="512">
                  <c:v>26.34788644800086</c:v>
                </c:pt>
                <c:pt idx="513">
                  <c:v>24.797584796506833</c:v>
                </c:pt>
                <c:pt idx="514">
                  <c:v>27.028098793463801</c:v>
                </c:pt>
                <c:pt idx="515">
                  <c:v>28.157914918859078</c:v>
                </c:pt>
                <c:pt idx="516">
                  <c:v>37.67377709336818</c:v>
                </c:pt>
                <c:pt idx="517">
                  <c:v>32.529929339107596</c:v>
                </c:pt>
                <c:pt idx="518">
                  <c:v>38.568642901642242</c:v>
                </c:pt>
                <c:pt idx="519">
                  <c:v>21.293066274122971</c:v>
                </c:pt>
                <c:pt idx="520">
                  <c:v>9.9381200884471941</c:v>
                </c:pt>
                <c:pt idx="521">
                  <c:v>15.664284944296273</c:v>
                </c:pt>
                <c:pt idx="522">
                  <c:v>22.853784174002552</c:v>
                </c:pt>
                <c:pt idx="523">
                  <c:v>10.3031603134701</c:v>
                </c:pt>
                <c:pt idx="524">
                  <c:v>15.312985469253583</c:v>
                </c:pt>
                <c:pt idx="525">
                  <c:v>20.493386295318547</c:v>
                </c:pt>
                <c:pt idx="526">
                  <c:v>9.3191506206105963</c:v>
                </c:pt>
                <c:pt idx="527">
                  <c:v>14.532069716352661</c:v>
                </c:pt>
                <c:pt idx="528">
                  <c:v>21.846014614179985</c:v>
                </c:pt>
                <c:pt idx="529">
                  <c:v>7.3485736953496934</c:v>
                </c:pt>
                <c:pt idx="530">
                  <c:v>14.577212881191331</c:v>
                </c:pt>
                <c:pt idx="531">
                  <c:v>8.3539120367700157</c:v>
                </c:pt>
                <c:pt idx="532">
                  <c:v>14.103927776466866</c:v>
                </c:pt>
                <c:pt idx="533">
                  <c:v>22.677166384152589</c:v>
                </c:pt>
                <c:pt idx="534">
                  <c:v>6.9888533046682397</c:v>
                </c:pt>
                <c:pt idx="535">
                  <c:v>12.209001928188666</c:v>
                </c:pt>
                <c:pt idx="536">
                  <c:v>9.5272414707654143</c:v>
                </c:pt>
                <c:pt idx="537">
                  <c:v>16.22043248398446</c:v>
                </c:pt>
                <c:pt idx="538">
                  <c:v>9.5272414707654143</c:v>
                </c:pt>
                <c:pt idx="539">
                  <c:v>16.22043248398446</c:v>
                </c:pt>
                <c:pt idx="540">
                  <c:v>9.5272414707654143</c:v>
                </c:pt>
                <c:pt idx="541">
                  <c:v>16.22043248398446</c:v>
                </c:pt>
                <c:pt idx="542">
                  <c:v>8.3890153880568512</c:v>
                </c:pt>
                <c:pt idx="543">
                  <c:v>12.02304038672283</c:v>
                </c:pt>
                <c:pt idx="544">
                  <c:v>18.287232018894848</c:v>
                </c:pt>
                <c:pt idx="545">
                  <c:v>6.6411802148631498</c:v>
                </c:pt>
                <c:pt idx="546">
                  <c:v>16.514171589601418</c:v>
                </c:pt>
                <c:pt idx="547">
                  <c:v>11.439476573082974</c:v>
                </c:pt>
                <c:pt idx="548">
                  <c:v>16.405192740249984</c:v>
                </c:pt>
                <c:pt idx="549">
                  <c:v>24.545389586601519</c:v>
                </c:pt>
                <c:pt idx="550">
                  <c:v>9.8400969285950399</c:v>
                </c:pt>
                <c:pt idx="551">
                  <c:v>20.752533731079968</c:v>
                </c:pt>
                <c:pt idx="552">
                  <c:v>11.555027788444262</c:v>
                </c:pt>
                <c:pt idx="553">
                  <c:v>17.733862688782764</c:v>
                </c:pt>
                <c:pt idx="554">
                  <c:v>23.573687983594013</c:v>
                </c:pt>
                <c:pt idx="555">
                  <c:v>8.2244963423075497</c:v>
                </c:pt>
                <c:pt idx="556">
                  <c:v>13.824852240393886</c:v>
                </c:pt>
                <c:pt idx="557">
                  <c:v>22.609327385827878</c:v>
                </c:pt>
                <c:pt idx="558">
                  <c:v>26.405660003122065</c:v>
                </c:pt>
                <c:pt idx="559">
                  <c:v>18.15546744996055</c:v>
                </c:pt>
                <c:pt idx="560">
                  <c:v>7.6420637909352038</c:v>
                </c:pt>
                <c:pt idx="561">
                  <c:v>13.801163579027131</c:v>
                </c:pt>
                <c:pt idx="562">
                  <c:v>17.539991135303982</c:v>
                </c:pt>
                <c:pt idx="563">
                  <c:v>15.100092637011493</c:v>
                </c:pt>
                <c:pt idx="564">
                  <c:v>15.100092637011493</c:v>
                </c:pt>
                <c:pt idx="565">
                  <c:v>15.925443728062861</c:v>
                </c:pt>
                <c:pt idx="566">
                  <c:v>12.19729146567582</c:v>
                </c:pt>
                <c:pt idx="567">
                  <c:v>21.463963287729754</c:v>
                </c:pt>
                <c:pt idx="568">
                  <c:v>18.981280188134065</c:v>
                </c:pt>
                <c:pt idx="569">
                  <c:v>11.362900737839432</c:v>
                </c:pt>
                <c:pt idx="570">
                  <c:v>21.78798476125273</c:v>
                </c:pt>
                <c:pt idx="571">
                  <c:v>14.18375556587454</c:v>
                </c:pt>
                <c:pt idx="572">
                  <c:v>9.6636054863184224</c:v>
                </c:pt>
                <c:pt idx="573">
                  <c:v>16.806668968902944</c:v>
                </c:pt>
                <c:pt idx="574">
                  <c:v>11.735514138396727</c:v>
                </c:pt>
                <c:pt idx="575">
                  <c:v>20.07838425051175</c:v>
                </c:pt>
                <c:pt idx="576">
                  <c:v>8.961041958385346</c:v>
                </c:pt>
                <c:pt idx="577">
                  <c:v>20.344805305729501</c:v>
                </c:pt>
                <c:pt idx="578">
                  <c:v>11.301178165806137</c:v>
                </c:pt>
                <c:pt idx="579">
                  <c:v>22.637554121379477</c:v>
                </c:pt>
                <c:pt idx="580">
                  <c:v>9.8482019849514817</c:v>
                </c:pt>
                <c:pt idx="581">
                  <c:v>15.005878316324857</c:v>
                </c:pt>
                <c:pt idx="582">
                  <c:v>13.291493454461014</c:v>
                </c:pt>
                <c:pt idx="583">
                  <c:v>24.272404930720246</c:v>
                </c:pt>
                <c:pt idx="584">
                  <c:v>10.354292885724362</c:v>
                </c:pt>
                <c:pt idx="585">
                  <c:v>17.459672345255875</c:v>
                </c:pt>
                <c:pt idx="586">
                  <c:v>20.588576146106401</c:v>
                </c:pt>
                <c:pt idx="587">
                  <c:v>9.8482019849514817</c:v>
                </c:pt>
                <c:pt idx="588">
                  <c:v>12.517094001427703</c:v>
                </c:pt>
                <c:pt idx="589">
                  <c:v>18.099146879370611</c:v>
                </c:pt>
                <c:pt idx="590">
                  <c:v>9.6231372644070223</c:v>
                </c:pt>
                <c:pt idx="591">
                  <c:v>13.988784362088989</c:v>
                </c:pt>
                <c:pt idx="592">
                  <c:v>20.147901080084861</c:v>
                </c:pt>
                <c:pt idx="593">
                  <c:v>8.3614084751578854</c:v>
                </c:pt>
                <c:pt idx="594">
                  <c:v>21.28499895372023</c:v>
                </c:pt>
                <c:pt idx="595">
                  <c:v>25.193629659065152</c:v>
                </c:pt>
                <c:pt idx="596">
                  <c:v>13.109141910438199</c:v>
                </c:pt>
                <c:pt idx="597">
                  <c:v>15.618719377365023</c:v>
                </c:pt>
                <c:pt idx="598">
                  <c:v>10.351960588418185</c:v>
                </c:pt>
                <c:pt idx="599">
                  <c:v>20.48559483338337</c:v>
                </c:pt>
                <c:pt idx="600">
                  <c:v>17.199570757665498</c:v>
                </c:pt>
                <c:pt idx="601">
                  <c:v>18.137140419677031</c:v>
                </c:pt>
                <c:pt idx="602">
                  <c:v>9.6953068184568991</c:v>
                </c:pt>
                <c:pt idx="603">
                  <c:v>15.997611278353121</c:v>
                </c:pt>
                <c:pt idx="604">
                  <c:v>24.692733342451863</c:v>
                </c:pt>
                <c:pt idx="605">
                  <c:v>28.618185893136079</c:v>
                </c:pt>
                <c:pt idx="606">
                  <c:v>24.888663378251781</c:v>
                </c:pt>
                <c:pt idx="607">
                  <c:v>28.618185893136079</c:v>
                </c:pt>
                <c:pt idx="608">
                  <c:v>9.4709337579966189</c:v>
                </c:pt>
                <c:pt idx="609">
                  <c:v>30.741964187577452</c:v>
                </c:pt>
              </c:numCache>
            </c:numRef>
          </c:xVal>
          <c:yVal>
            <c:numRef>
              <c:f>種族分析!$AC$3:$AC$612</c:f>
              <c:numCache>
                <c:formatCode>0.0_ </c:formatCode>
                <c:ptCount val="610"/>
                <c:pt idx="0">
                  <c:v>13.536992831188597</c:v>
                </c:pt>
                <c:pt idx="1">
                  <c:v>16.778443985300662</c:v>
                </c:pt>
                <c:pt idx="2">
                  <c:v>22.269807941688597</c:v>
                </c:pt>
                <c:pt idx="3">
                  <c:v>11.337963851059174</c:v>
                </c:pt>
                <c:pt idx="4">
                  <c:v>16.127546901610224</c:v>
                </c:pt>
                <c:pt idx="5">
                  <c:v>23.765763019363636</c:v>
                </c:pt>
                <c:pt idx="6">
                  <c:v>9.3398681449765739</c:v>
                </c:pt>
                <c:pt idx="7">
                  <c:v>13.141095935774436</c:v>
                </c:pt>
                <c:pt idx="8">
                  <c:v>19.489343994550723</c:v>
                </c:pt>
                <c:pt idx="9">
                  <c:v>5.1141088650111621</c:v>
                </c:pt>
                <c:pt idx="10">
                  <c:v>4.571659639397323</c:v>
                </c:pt>
                <c:pt idx="11">
                  <c:v>15.791993484306223</c:v>
                </c:pt>
                <c:pt idx="12">
                  <c:v>7.9410050287060718</c:v>
                </c:pt>
                <c:pt idx="13">
                  <c:v>6.6211030151996813</c:v>
                </c:pt>
                <c:pt idx="14">
                  <c:v>17.858726393278349</c:v>
                </c:pt>
                <c:pt idx="15">
                  <c:v>8.6428896273255802</c:v>
                </c:pt>
                <c:pt idx="16">
                  <c:v>10.754293743765194</c:v>
                </c:pt>
                <c:pt idx="17">
                  <c:v>15.43111845830569</c:v>
                </c:pt>
                <c:pt idx="18">
                  <c:v>11.535989634633665</c:v>
                </c:pt>
                <c:pt idx="19">
                  <c:v>11.252905976861539</c:v>
                </c:pt>
                <c:pt idx="20">
                  <c:v>17.198988680406782</c:v>
                </c:pt>
                <c:pt idx="21">
                  <c:v>14.79594085338983</c:v>
                </c:pt>
                <c:pt idx="22">
                  <c:v>13.044172152400002</c:v>
                </c:pt>
                <c:pt idx="23">
                  <c:v>18.205357076657144</c:v>
                </c:pt>
                <c:pt idx="24">
                  <c:v>12.055997571489726</c:v>
                </c:pt>
                <c:pt idx="25">
                  <c:v>16.82687999238815</c:v>
                </c:pt>
                <c:pt idx="26">
                  <c:v>12.64059742896457</c:v>
                </c:pt>
                <c:pt idx="27">
                  <c:v>19.974519293417327</c:v>
                </c:pt>
                <c:pt idx="28">
                  <c:v>20.698857255338584</c:v>
                </c:pt>
                <c:pt idx="29">
                  <c:v>11.649053719023971</c:v>
                </c:pt>
                <c:pt idx="30">
                  <c:v>13.379632507352943</c:v>
                </c:pt>
                <c:pt idx="31">
                  <c:v>17.209439804865081</c:v>
                </c:pt>
                <c:pt idx="32">
                  <c:v>17.912235505882354</c:v>
                </c:pt>
                <c:pt idx="33">
                  <c:v>9.6513375902082448</c:v>
                </c:pt>
                <c:pt idx="34">
                  <c:v>12.234127167357919</c:v>
                </c:pt>
                <c:pt idx="35">
                  <c:v>18.214666243141025</c:v>
                </c:pt>
                <c:pt idx="36">
                  <c:v>11.234337653622562</c:v>
                </c:pt>
                <c:pt idx="37">
                  <c:v>14.634560172320855</c:v>
                </c:pt>
                <c:pt idx="38">
                  <c:v>20.330238577602564</c:v>
                </c:pt>
                <c:pt idx="39">
                  <c:v>10.67892387783688</c:v>
                </c:pt>
                <c:pt idx="40">
                  <c:v>17.519989113851356</c:v>
                </c:pt>
                <c:pt idx="41">
                  <c:v>9.7400720464838724</c:v>
                </c:pt>
                <c:pt idx="42">
                  <c:v>9.7554897767841577</c:v>
                </c:pt>
                <c:pt idx="43">
                  <c:v>18.183157554133334</c:v>
                </c:pt>
                <c:pt idx="44">
                  <c:v>16.768187870572689</c:v>
                </c:pt>
                <c:pt idx="45">
                  <c:v>9.6396454656751054</c:v>
                </c:pt>
                <c:pt idx="46">
                  <c:v>16.865575782852858</c:v>
                </c:pt>
                <c:pt idx="47">
                  <c:v>9.323887466421052</c:v>
                </c:pt>
                <c:pt idx="48">
                  <c:v>15.205079584238806</c:v>
                </c:pt>
                <c:pt idx="49">
                  <c:v>13.914555848431506</c:v>
                </c:pt>
                <c:pt idx="50">
                  <c:v>15.861616900465757</c:v>
                </c:pt>
                <c:pt idx="51">
                  <c:v>20.889168108950329</c:v>
                </c:pt>
                <c:pt idx="52">
                  <c:v>12.2879084756082</c:v>
                </c:pt>
                <c:pt idx="53">
                  <c:v>18.390089443999997</c:v>
                </c:pt>
                <c:pt idx="54">
                  <c:v>10.813732940455273</c:v>
                </c:pt>
                <c:pt idx="55">
                  <c:v>16.947395238514382</c:v>
                </c:pt>
                <c:pt idx="56">
                  <c:v>10.586070575059248</c:v>
                </c:pt>
                <c:pt idx="57">
                  <c:v>10.661343629990702</c:v>
                </c:pt>
                <c:pt idx="58">
                  <c:v>16.705450524558028</c:v>
                </c:pt>
                <c:pt idx="59">
                  <c:v>20.02124052266667</c:v>
                </c:pt>
                <c:pt idx="60">
                  <c:v>10.779453057335616</c:v>
                </c:pt>
                <c:pt idx="61">
                  <c:v>11.137206665672727</c:v>
                </c:pt>
                <c:pt idx="62">
                  <c:v>15.582961474280824</c:v>
                </c:pt>
                <c:pt idx="63">
                  <c:v>15.650388789355556</c:v>
                </c:pt>
                <c:pt idx="64">
                  <c:v>11.96735446621901</c:v>
                </c:pt>
                <c:pt idx="65">
                  <c:v>18.471164424270675</c:v>
                </c:pt>
                <c:pt idx="66">
                  <c:v>13.738583069127271</c:v>
                </c:pt>
                <c:pt idx="67">
                  <c:v>20.248998643565717</c:v>
                </c:pt>
                <c:pt idx="68">
                  <c:v>12.825037242656807</c:v>
                </c:pt>
                <c:pt idx="69">
                  <c:v>22.243057981001257</c:v>
                </c:pt>
                <c:pt idx="70">
                  <c:v>9.8786369268942433</c:v>
                </c:pt>
                <c:pt idx="71">
                  <c:v>12.110679023410309</c:v>
                </c:pt>
                <c:pt idx="72">
                  <c:v>18.4201470141636</c:v>
                </c:pt>
                <c:pt idx="73">
                  <c:v>17.497433153647059</c:v>
                </c:pt>
                <c:pt idx="74">
                  <c:v>21.60204306676</c:v>
                </c:pt>
                <c:pt idx="75">
                  <c:v>26.655441150213118</c:v>
                </c:pt>
                <c:pt idx="76">
                  <c:v>18.560496939940297</c:v>
                </c:pt>
                <c:pt idx="77">
                  <c:v>24.27229495076276</c:v>
                </c:pt>
                <c:pt idx="78">
                  <c:v>15.480506934728069</c:v>
                </c:pt>
                <c:pt idx="79">
                  <c:v>18.017408472490132</c:v>
                </c:pt>
                <c:pt idx="80">
                  <c:v>21.349401644185622</c:v>
                </c:pt>
                <c:pt idx="81">
                  <c:v>8.9241349587827834</c:v>
                </c:pt>
                <c:pt idx="82">
                  <c:v>16.752576930771241</c:v>
                </c:pt>
                <c:pt idx="83">
                  <c:v>13.545723728187792</c:v>
                </c:pt>
                <c:pt idx="84">
                  <c:v>13.849147939699201</c:v>
                </c:pt>
                <c:pt idx="85">
                  <c:v>16.300271744262911</c:v>
                </c:pt>
                <c:pt idx="86">
                  <c:v>16.665397831334403</c:v>
                </c:pt>
                <c:pt idx="87">
                  <c:v>20.989881891181284</c:v>
                </c:pt>
                <c:pt idx="88">
                  <c:v>21.758316149981013</c:v>
                </c:pt>
                <c:pt idx="89">
                  <c:v>13.443009487126867</c:v>
                </c:pt>
                <c:pt idx="90">
                  <c:v>20.11515077168421</c:v>
                </c:pt>
                <c:pt idx="91">
                  <c:v>11.963801159179487</c:v>
                </c:pt>
                <c:pt idx="92">
                  <c:v>18.069673664524593</c:v>
                </c:pt>
                <c:pt idx="93">
                  <c:v>16.352727392239998</c:v>
                </c:pt>
                <c:pt idx="94">
                  <c:v>21.334993471947826</c:v>
                </c:pt>
                <c:pt idx="95">
                  <c:v>11.87530856357558</c:v>
                </c:pt>
                <c:pt idx="96">
                  <c:v>15.18699105361074</c:v>
                </c:pt>
                <c:pt idx="97">
                  <c:v>19.143295139319605</c:v>
                </c:pt>
                <c:pt idx="98">
                  <c:v>9.0156051910828037</c:v>
                </c:pt>
                <c:pt idx="99">
                  <c:v>13.774437459621621</c:v>
                </c:pt>
                <c:pt idx="100">
                  <c:v>14.455369154010697</c:v>
                </c:pt>
                <c:pt idx="101">
                  <c:v>14.473315952631578</c:v>
                </c:pt>
                <c:pt idx="102">
                  <c:v>19.084723406887417</c:v>
                </c:pt>
                <c:pt idx="103">
                  <c:v>19.217445107546219</c:v>
                </c:pt>
                <c:pt idx="104">
                  <c:v>10.103400300388536</c:v>
                </c:pt>
                <c:pt idx="105">
                  <c:v>18.330093253951951</c:v>
                </c:pt>
                <c:pt idx="106">
                  <c:v>19.375369144427836</c:v>
                </c:pt>
                <c:pt idx="107">
                  <c:v>23.610840747395347</c:v>
                </c:pt>
                <c:pt idx="108">
                  <c:v>27.172704513395349</c:v>
                </c:pt>
                <c:pt idx="109">
                  <c:v>9.4999813295774622</c:v>
                </c:pt>
                <c:pt idx="110">
                  <c:v>10.031933890688528</c:v>
                </c:pt>
                <c:pt idx="111">
                  <c:v>15.055521249336065</c:v>
                </c:pt>
                <c:pt idx="112">
                  <c:v>15.084203144836838</c:v>
                </c:pt>
                <c:pt idx="113">
                  <c:v>25.732039692690531</c:v>
                </c:pt>
                <c:pt idx="114">
                  <c:v>11.456397766761741</c:v>
                </c:pt>
                <c:pt idx="115">
                  <c:v>16.839783991401742</c:v>
                </c:pt>
                <c:pt idx="116">
                  <c:v>11.676017026245903</c:v>
                </c:pt>
                <c:pt idx="117">
                  <c:v>23.870139923080746</c:v>
                </c:pt>
                <c:pt idx="118">
                  <c:v>23.824683165303867</c:v>
                </c:pt>
                <c:pt idx="119">
                  <c:v>9.4127340675242124</c:v>
                </c:pt>
                <c:pt idx="120">
                  <c:v>14.672330572906173</c:v>
                </c:pt>
                <c:pt idx="121">
                  <c:v>15.784806543741176</c:v>
                </c:pt>
                <c:pt idx="122">
                  <c:v>19.753969863734401</c:v>
                </c:pt>
                <c:pt idx="123">
                  <c:v>19.035097828205718</c:v>
                </c:pt>
                <c:pt idx="124">
                  <c:v>11.934889766646341</c:v>
                </c:pt>
                <c:pt idx="125">
                  <c:v>12.852522547321918</c:v>
                </c:pt>
                <c:pt idx="126">
                  <c:v>17.720175177407537</c:v>
                </c:pt>
                <c:pt idx="127">
                  <c:v>16.32907525229114</c:v>
                </c:pt>
                <c:pt idx="128">
                  <c:v>12.759472833017858</c:v>
                </c:pt>
                <c:pt idx="129">
                  <c:v>21.567259104595067</c:v>
                </c:pt>
                <c:pt idx="130">
                  <c:v>8.1189868721785725</c:v>
                </c:pt>
                <c:pt idx="131">
                  <c:v>19.783049480272851</c:v>
                </c:pt>
                <c:pt idx="132">
                  <c:v>15.251512857500003</c:v>
                </c:pt>
                <c:pt idx="133">
                  <c:v>11.68551044779618</c:v>
                </c:pt>
                <c:pt idx="134">
                  <c:v>18.143160209593987</c:v>
                </c:pt>
                <c:pt idx="135">
                  <c:v>10.818221542982982</c:v>
                </c:pt>
                <c:pt idx="136">
                  <c:v>15.28223319417476</c:v>
                </c:pt>
                <c:pt idx="137">
                  <c:v>12.253318353070064</c:v>
                </c:pt>
                <c:pt idx="138">
                  <c:v>20.559833575641029</c:v>
                </c:pt>
                <c:pt idx="139">
                  <c:v>19.439742944155739</c:v>
                </c:pt>
                <c:pt idx="140">
                  <c:v>19.572101074781369</c:v>
                </c:pt>
                <c:pt idx="141">
                  <c:v>22.548454552348549</c:v>
                </c:pt>
                <c:pt idx="142">
                  <c:v>19.138060747484001</c:v>
                </c:pt>
                <c:pt idx="143">
                  <c:v>18.653591372163934</c:v>
                </c:pt>
                <c:pt idx="144">
                  <c:v>21.441304490936549</c:v>
                </c:pt>
                <c:pt idx="145">
                  <c:v>17.634858291838238</c:v>
                </c:pt>
                <c:pt idx="146">
                  <c:v>0.8042430048645598</c:v>
                </c:pt>
                <c:pt idx="147">
                  <c:v>22.110453011140741</c:v>
                </c:pt>
                <c:pt idx="148">
                  <c:v>16.588589502595418</c:v>
                </c:pt>
                <c:pt idx="149">
                  <c:v>0</c:v>
                </c:pt>
                <c:pt idx="150">
                  <c:v>11.500818395391304</c:v>
                </c:pt>
                <c:pt idx="151">
                  <c:v>19.619179175639101</c:v>
                </c:pt>
                <c:pt idx="152">
                  <c:v>22.007798143795998</c:v>
                </c:pt>
                <c:pt idx="153">
                  <c:v>25.485529646533333</c:v>
                </c:pt>
                <c:pt idx="154">
                  <c:v>16.459589349016952</c:v>
                </c:pt>
                <c:pt idx="155">
                  <c:v>13.77463205828221</c:v>
                </c:pt>
                <c:pt idx="156">
                  <c:v>20.376826198166665</c:v>
                </c:pt>
                <c:pt idx="157">
                  <c:v>12.475043142447825</c:v>
                </c:pt>
                <c:pt idx="158">
                  <c:v>19.955949069430169</c:v>
                </c:pt>
                <c:pt idx="159">
                  <c:v>21.206810397896714</c:v>
                </c:pt>
                <c:pt idx="160">
                  <c:v>18.915873188313011</c:v>
                </c:pt>
                <c:pt idx="161">
                  <c:v>18.189437785756756</c:v>
                </c:pt>
                <c:pt idx="162">
                  <c:v>23.870825677947828</c:v>
                </c:pt>
                <c:pt idx="163">
                  <c:v>26.026376319200001</c:v>
                </c:pt>
                <c:pt idx="164">
                  <c:v>12.253958007500001</c:v>
                </c:pt>
                <c:pt idx="165">
                  <c:v>15.647917639486304</c:v>
                </c:pt>
                <c:pt idx="166">
                  <c:v>26.667424851452378</c:v>
                </c:pt>
                <c:pt idx="167">
                  <c:v>18.048561084402877</c:v>
                </c:pt>
                <c:pt idx="168">
                  <c:v>31.223733575676853</c:v>
                </c:pt>
                <c:pt idx="169">
                  <c:v>20.613087301061576</c:v>
                </c:pt>
                <c:pt idx="170">
                  <c:v>11.13073727442544</c:v>
                </c:pt>
                <c:pt idx="171">
                  <c:v>13.028182676269795</c:v>
                </c:pt>
                <c:pt idx="172">
                  <c:v>19.306182904188596</c:v>
                </c:pt>
                <c:pt idx="173">
                  <c:v>11.186263464333333</c:v>
                </c:pt>
                <c:pt idx="174">
                  <c:v>14.505523506333333</c:v>
                </c:pt>
                <c:pt idx="175">
                  <c:v>22.47804172106024</c:v>
                </c:pt>
                <c:pt idx="176">
                  <c:v>10.501233286634147</c:v>
                </c:pt>
                <c:pt idx="177">
                  <c:v>12.791175754634148</c:v>
                </c:pt>
                <c:pt idx="178">
                  <c:v>22.760498818550726</c:v>
                </c:pt>
                <c:pt idx="179">
                  <c:v>9.0801560277966118</c:v>
                </c:pt>
                <c:pt idx="180">
                  <c:v>15.997464766898302</c:v>
                </c:pt>
                <c:pt idx="181">
                  <c:v>8.0782269485142866</c:v>
                </c:pt>
                <c:pt idx="182">
                  <c:v>15.66776846124138</c:v>
                </c:pt>
                <c:pt idx="183">
                  <c:v>7.8613684740107299</c:v>
                </c:pt>
                <c:pt idx="184">
                  <c:v>10.868955292008476</c:v>
                </c:pt>
                <c:pt idx="185">
                  <c:v>10.714886911320756</c:v>
                </c:pt>
                <c:pt idx="186">
                  <c:v>13.749203770524854</c:v>
                </c:pt>
                <c:pt idx="187">
                  <c:v>18.633184563975906</c:v>
                </c:pt>
                <c:pt idx="188">
                  <c:v>11.204051537481739</c:v>
                </c:pt>
                <c:pt idx="189">
                  <c:v>14.781117009157894</c:v>
                </c:pt>
                <c:pt idx="190">
                  <c:v>8.9251717782560007</c:v>
                </c:pt>
                <c:pt idx="191">
                  <c:v>8.1691919737938594</c:v>
                </c:pt>
                <c:pt idx="192">
                  <c:v>8.2200942559166688</c:v>
                </c:pt>
                <c:pt idx="193">
                  <c:v>7.1863424349411771</c:v>
                </c:pt>
                <c:pt idx="194">
                  <c:v>13.437146966061855</c:v>
                </c:pt>
                <c:pt idx="195">
                  <c:v>12.56892336947651</c:v>
                </c:pt>
                <c:pt idx="196">
                  <c:v>18.10909382511565</c:v>
                </c:pt>
                <c:pt idx="197">
                  <c:v>12.048121297771999</c:v>
                </c:pt>
                <c:pt idx="198">
                  <c:v>13.825954760648649</c:v>
                </c:pt>
                <c:pt idx="199">
                  <c:v>19.1265592506807</c:v>
                </c:pt>
                <c:pt idx="200">
                  <c:v>16.873674565031916</c:v>
                </c:pt>
                <c:pt idx="201">
                  <c:v>5.1295439954140134</c:v>
                </c:pt>
                <c:pt idx="202">
                  <c:v>11.770457357586482</c:v>
                </c:pt>
                <c:pt idx="203">
                  <c:v>16.558510620769951</c:v>
                </c:pt>
                <c:pt idx="204">
                  <c:v>16.912438175696895</c:v>
                </c:pt>
                <c:pt idx="205">
                  <c:v>8.1836361378684224</c:v>
                </c:pt>
                <c:pt idx="206">
                  <c:v>10.155226689131581</c:v>
                </c:pt>
                <c:pt idx="207">
                  <c:v>12.011872552437957</c:v>
                </c:pt>
                <c:pt idx="208">
                  <c:v>12.172551847856353</c:v>
                </c:pt>
                <c:pt idx="209">
                  <c:v>7.1978408622368431</c:v>
                </c:pt>
                <c:pt idx="210">
                  <c:v>18.675125854271357</c:v>
                </c:pt>
                <c:pt idx="211">
                  <c:v>13.522908979073897</c:v>
                </c:pt>
                <c:pt idx="212">
                  <c:v>8.0527770077514802</c:v>
                </c:pt>
                <c:pt idx="213">
                  <c:v>15.518481353294121</c:v>
                </c:pt>
                <c:pt idx="214">
                  <c:v>25.74206163045902</c:v>
                </c:pt>
                <c:pt idx="215">
                  <c:v>13.498532739359035</c:v>
                </c:pt>
                <c:pt idx="216">
                  <c:v>17.096261474317462</c:v>
                </c:pt>
                <c:pt idx="217">
                  <c:v>18.069673664524593</c:v>
                </c:pt>
                <c:pt idx="218">
                  <c:v>13.198097250514543</c:v>
                </c:pt>
                <c:pt idx="219">
                  <c:v>8.6698121003263058</c:v>
                </c:pt>
                <c:pt idx="220">
                  <c:v>6.8219055023408242</c:v>
                </c:pt>
                <c:pt idx="221">
                  <c:v>18.526363424401641</c:v>
                </c:pt>
                <c:pt idx="222">
                  <c:v>9.7122079195758939</c:v>
                </c:pt>
                <c:pt idx="223">
                  <c:v>16.36045380519149</c:v>
                </c:pt>
                <c:pt idx="224">
                  <c:v>11.499714651564247</c:v>
                </c:pt>
                <c:pt idx="225">
                  <c:v>12.699807152360499</c:v>
                </c:pt>
                <c:pt idx="226">
                  <c:v>14.831512167646762</c:v>
                </c:pt>
                <c:pt idx="227">
                  <c:v>13.397175536615386</c:v>
                </c:pt>
                <c:pt idx="228">
                  <c:v>20.608169701625819</c:v>
                </c:pt>
                <c:pt idx="229">
                  <c:v>16.603017008136366</c:v>
                </c:pt>
                <c:pt idx="230">
                  <c:v>21.114580435687902</c:v>
                </c:pt>
                <c:pt idx="231">
                  <c:v>3.7016790213670885</c:v>
                </c:pt>
                <c:pt idx="232">
                  <c:v>22.590093073188569</c:v>
                </c:pt>
                <c:pt idx="233">
                  <c:v>19.13706562820202</c:v>
                </c:pt>
                <c:pt idx="234">
                  <c:v>13.679714908524591</c:v>
                </c:pt>
                <c:pt idx="235">
                  <c:v>22.403465046245163</c:v>
                </c:pt>
                <c:pt idx="236">
                  <c:v>10.78089895411709</c:v>
                </c:pt>
                <c:pt idx="237">
                  <c:v>15.101751493805715</c:v>
                </c:pt>
                <c:pt idx="238">
                  <c:v>8.4335033353896112</c:v>
                </c:pt>
                <c:pt idx="239">
                  <c:v>17.662962866342543</c:v>
                </c:pt>
                <c:pt idx="240">
                  <c:v>11.418828844190855</c:v>
                </c:pt>
                <c:pt idx="241">
                  <c:v>11.195155246634148</c:v>
                </c:pt>
                <c:pt idx="242">
                  <c:v>17.59003837022901</c:v>
                </c:pt>
                <c:pt idx="243">
                  <c:v>10.150674095553279</c:v>
                </c:pt>
                <c:pt idx="244">
                  <c:v>13.073944346321131</c:v>
                </c:pt>
                <c:pt idx="245">
                  <c:v>16.386554078334616</c:v>
                </c:pt>
                <c:pt idx="246">
                  <c:v>14.719522983373457</c:v>
                </c:pt>
                <c:pt idx="247">
                  <c:v>22.501912272695087</c:v>
                </c:pt>
                <c:pt idx="248">
                  <c:v>19.393270868955664</c:v>
                </c:pt>
                <c:pt idx="249">
                  <c:v>9.5746022224235308</c:v>
                </c:pt>
                <c:pt idx="250">
                  <c:v>20.860086947498765</c:v>
                </c:pt>
                <c:pt idx="251">
                  <c:v>20.974221340928089</c:v>
                </c:pt>
                <c:pt idx="252">
                  <c:v>18.530436821991735</c:v>
                </c:pt>
                <c:pt idx="253">
                  <c:v>7.6115697669489801</c:v>
                </c:pt>
                <c:pt idx="254">
                  <c:v>6.7006158759324324</c:v>
                </c:pt>
                <c:pt idx="255">
                  <c:v>17.300953806262861</c:v>
                </c:pt>
                <c:pt idx="256">
                  <c:v>14.428198883196789</c:v>
                </c:pt>
                <c:pt idx="257">
                  <c:v>13.820606160200001</c:v>
                </c:pt>
                <c:pt idx="258">
                  <c:v>14.086722101483872</c:v>
                </c:pt>
                <c:pt idx="259">
                  <c:v>14.452063858598727</c:v>
                </c:pt>
                <c:pt idx="260">
                  <c:v>14.405597651725714</c:v>
                </c:pt>
                <c:pt idx="261">
                  <c:v>24.320547064944886</c:v>
                </c:pt>
                <c:pt idx="262">
                  <c:v>24.751732785987258</c:v>
                </c:pt>
                <c:pt idx="263">
                  <c:v>16.791463839421485</c:v>
                </c:pt>
                <c:pt idx="264">
                  <c:v>10.889878538184931</c:v>
                </c:pt>
                <c:pt idx="265">
                  <c:v>13.650515559417807</c:v>
                </c:pt>
                <c:pt idx="266">
                  <c:v>23.062817837162164</c:v>
                </c:pt>
                <c:pt idx="267">
                  <c:v>20.26100358821266</c:v>
                </c:pt>
                <c:pt idx="268">
                  <c:v>21.028469635308991</c:v>
                </c:pt>
                <c:pt idx="269">
                  <c:v>21.08382607971312</c:v>
                </c:pt>
                <c:pt idx="270">
                  <c:v>13.249122586317982</c:v>
                </c:pt>
                <c:pt idx="271">
                  <c:v>17.479047785424243</c:v>
                </c:pt>
                <c:pt idx="272">
                  <c:v>24.556112369466291</c:v>
                </c:pt>
                <c:pt idx="273">
                  <c:v>12.378915225177517</c:v>
                </c:pt>
                <c:pt idx="274">
                  <c:v>14.900673511333334</c:v>
                </c:pt>
                <c:pt idx="275">
                  <c:v>25.876125247114842</c:v>
                </c:pt>
                <c:pt idx="276">
                  <c:v>12.261267693078514</c:v>
                </c:pt>
                <c:pt idx="277">
                  <c:v>15.55932808655224</c:v>
                </c:pt>
                <c:pt idx="278">
                  <c:v>23.049130126550725</c:v>
                </c:pt>
                <c:pt idx="279">
                  <c:v>9.496918165189852</c:v>
                </c:pt>
                <c:pt idx="280">
                  <c:v>15.934013297704919</c:v>
                </c:pt>
                <c:pt idx="281">
                  <c:v>7.140648098355264</c:v>
                </c:pt>
                <c:pt idx="282">
                  <c:v>13.69181923388158</c:v>
                </c:pt>
                <c:pt idx="283">
                  <c:v>6.1990073162388395</c:v>
                </c:pt>
                <c:pt idx="284">
                  <c:v>5.3853334778180812</c:v>
                </c:pt>
                <c:pt idx="285">
                  <c:v>16.540223722307115</c:v>
                </c:pt>
                <c:pt idx="286">
                  <c:v>5.3853334778180812</c:v>
                </c:pt>
                <c:pt idx="287">
                  <c:v>10.135667974621004</c:v>
                </c:pt>
                <c:pt idx="288">
                  <c:v>7.6507048002696614</c:v>
                </c:pt>
                <c:pt idx="289">
                  <c:v>12.283278113829875</c:v>
                </c:pt>
                <c:pt idx="290">
                  <c:v>17.602859509045231</c:v>
                </c:pt>
                <c:pt idx="291">
                  <c:v>8.5294988843030293</c:v>
                </c:pt>
                <c:pt idx="292">
                  <c:v>14.39403441098538</c:v>
                </c:pt>
                <c:pt idx="293">
                  <c:v>20.695807558851993</c:v>
                </c:pt>
                <c:pt idx="294">
                  <c:v>10.103333077546054</c:v>
                </c:pt>
                <c:pt idx="295">
                  <c:v>19.330400231724138</c:v>
                </c:pt>
                <c:pt idx="296">
                  <c:v>9.9662320370481918</c:v>
                </c:pt>
                <c:pt idx="297">
                  <c:v>17.159147565563909</c:v>
                </c:pt>
                <c:pt idx="298">
                  <c:v>8.4672480087859014</c:v>
                </c:pt>
                <c:pt idx="299">
                  <c:v>12.589396546000001</c:v>
                </c:pt>
                <c:pt idx="300">
                  <c:v>23.54995078304918</c:v>
                </c:pt>
                <c:pt idx="301">
                  <c:v>9.7754736918867948</c:v>
                </c:pt>
                <c:pt idx="302">
                  <c:v>15.434779841861472</c:v>
                </c:pt>
                <c:pt idx="303">
                  <c:v>8.7586833819868435</c:v>
                </c:pt>
                <c:pt idx="304">
                  <c:v>25.233268636401217</c:v>
                </c:pt>
                <c:pt idx="305">
                  <c:v>5.5366613153228963</c:v>
                </c:pt>
                <c:pt idx="306">
                  <c:v>15.138569402857147</c:v>
                </c:pt>
                <c:pt idx="307">
                  <c:v>14.327219920063694</c:v>
                </c:pt>
                <c:pt idx="308">
                  <c:v>8.7261036970974573</c:v>
                </c:pt>
                <c:pt idx="309">
                  <c:v>18.831168114368424</c:v>
                </c:pt>
                <c:pt idx="310">
                  <c:v>12.03621231705584</c:v>
                </c:pt>
                <c:pt idx="311">
                  <c:v>9.9754570240199012</c:v>
                </c:pt>
                <c:pt idx="312">
                  <c:v>11.700847169260356</c:v>
                </c:pt>
                <c:pt idx="313">
                  <c:v>14.868945677425152</c:v>
                </c:pt>
                <c:pt idx="314">
                  <c:v>9.3156631733846176</c:v>
                </c:pt>
                <c:pt idx="315">
                  <c:v>21.922754380492488</c:v>
                </c:pt>
                <c:pt idx="316">
                  <c:v>4.4628558032332339</c:v>
                </c:pt>
                <c:pt idx="317">
                  <c:v>9.2417424530704224</c:v>
                </c:pt>
                <c:pt idx="318">
                  <c:v>9.1683915450657896</c:v>
                </c:pt>
                <c:pt idx="319">
                  <c:v>11.987432231410819</c:v>
                </c:pt>
                <c:pt idx="320">
                  <c:v>14.88419370517447</c:v>
                </c:pt>
                <c:pt idx="321">
                  <c:v>15.270518071026393</c:v>
                </c:pt>
                <c:pt idx="322">
                  <c:v>12.128479144745342</c:v>
                </c:pt>
                <c:pt idx="323">
                  <c:v>15.836920628535212</c:v>
                </c:pt>
                <c:pt idx="324">
                  <c:v>18.786287400964131</c:v>
                </c:pt>
                <c:pt idx="325">
                  <c:v>8.2304190851918282</c:v>
                </c:pt>
                <c:pt idx="326">
                  <c:v>13.65237157314114</c:v>
                </c:pt>
                <c:pt idx="327">
                  <c:v>12.634013503401741</c:v>
                </c:pt>
                <c:pt idx="328">
                  <c:v>21.701101359824943</c:v>
                </c:pt>
                <c:pt idx="329">
                  <c:v>16.335091532841741</c:v>
                </c:pt>
                <c:pt idx="330">
                  <c:v>14.652783337641742</c:v>
                </c:pt>
                <c:pt idx="331">
                  <c:v>12.602901982551725</c:v>
                </c:pt>
                <c:pt idx="332">
                  <c:v>12.602901982551725</c:v>
                </c:pt>
                <c:pt idx="333">
                  <c:v>19.024740120919788</c:v>
                </c:pt>
                <c:pt idx="334">
                  <c:v>9.115258556860903</c:v>
                </c:pt>
                <c:pt idx="335">
                  <c:v>13.685983306089451</c:v>
                </c:pt>
                <c:pt idx="336">
                  <c:v>15.633978824325791</c:v>
                </c:pt>
                <c:pt idx="337">
                  <c:v>23.325799768</c:v>
                </c:pt>
                <c:pt idx="338">
                  <c:v>12.474358588943662</c:v>
                </c:pt>
                <c:pt idx="339">
                  <c:v>17.105721091194031</c:v>
                </c:pt>
                <c:pt idx="340">
                  <c:v>10.423783181788236</c:v>
                </c:pt>
                <c:pt idx="341">
                  <c:v>19.1906725186</c:v>
                </c:pt>
                <c:pt idx="342">
                  <c:v>16.476109532533332</c:v>
                </c:pt>
                <c:pt idx="343">
                  <c:v>11.900249553411767</c:v>
                </c:pt>
                <c:pt idx="344">
                  <c:v>17.423450143891646</c:v>
                </c:pt>
                <c:pt idx="345">
                  <c:v>8.9985328172520678</c:v>
                </c:pt>
                <c:pt idx="346">
                  <c:v>14.119407018939089</c:v>
                </c:pt>
                <c:pt idx="347">
                  <c:v>13.410989700222604</c:v>
                </c:pt>
                <c:pt idx="348">
                  <c:v>20.644209775238096</c:v>
                </c:pt>
                <c:pt idx="349">
                  <c:v>15.740281386732978</c:v>
                </c:pt>
                <c:pt idx="350">
                  <c:v>22.498196257189964</c:v>
                </c:pt>
                <c:pt idx="351">
                  <c:v>7.4039830492383727</c:v>
                </c:pt>
                <c:pt idx="352">
                  <c:v>15.534148539490909</c:v>
                </c:pt>
                <c:pt idx="353">
                  <c:v>17.953232006904933</c:v>
                </c:pt>
                <c:pt idx="354">
                  <c:v>16.049281546802941</c:v>
                </c:pt>
                <c:pt idx="355">
                  <c:v>18.307367124510836</c:v>
                </c:pt>
                <c:pt idx="356">
                  <c:v>18.307367124510836</c:v>
                </c:pt>
                <c:pt idx="357">
                  <c:v>9.6196561541401273</c:v>
                </c:pt>
                <c:pt idx="358">
                  <c:v>14.12116428053435</c:v>
                </c:pt>
                <c:pt idx="359">
                  <c:v>12.150837341953956</c:v>
                </c:pt>
                <c:pt idx="360">
                  <c:v>25.644478966526961</c:v>
                </c:pt>
                <c:pt idx="361">
                  <c:v>7.6784984305647841</c:v>
                </c:pt>
                <c:pt idx="362">
                  <c:v>14.690169441434428</c:v>
                </c:pt>
                <c:pt idx="363">
                  <c:v>11.201850787565791</c:v>
                </c:pt>
                <c:pt idx="364">
                  <c:v>15.226693903722099</c:v>
                </c:pt>
                <c:pt idx="365">
                  <c:v>14.408872906047829</c:v>
                </c:pt>
                <c:pt idx="366">
                  <c:v>18.85048762293059</c:v>
                </c:pt>
                <c:pt idx="367">
                  <c:v>3.9638500318421057</c:v>
                </c:pt>
                <c:pt idx="368">
                  <c:v>18.39197620101087</c:v>
                </c:pt>
                <c:pt idx="369">
                  <c:v>15.369352607243243</c:v>
                </c:pt>
                <c:pt idx="370">
                  <c:v>15.369352607243243</c:v>
                </c:pt>
                <c:pt idx="371">
                  <c:v>14.693676931567566</c:v>
                </c:pt>
                <c:pt idx="372">
                  <c:v>14.853388316813954</c:v>
                </c:pt>
                <c:pt idx="373">
                  <c:v>11.964252914410009</c:v>
                </c:pt>
                <c:pt idx="374">
                  <c:v>22.944931786396229</c:v>
                </c:pt>
                <c:pt idx="375">
                  <c:v>7.1093074210808584</c:v>
                </c:pt>
                <c:pt idx="376">
                  <c:v>11.017771331922443</c:v>
                </c:pt>
                <c:pt idx="377">
                  <c:v>13.99170685569282</c:v>
                </c:pt>
                <c:pt idx="378">
                  <c:v>16.522057343296702</c:v>
                </c:pt>
                <c:pt idx="379">
                  <c:v>22.605040030259794</c:v>
                </c:pt>
                <c:pt idx="380">
                  <c:v>4.836321995331307</c:v>
                </c:pt>
                <c:pt idx="381">
                  <c:v>10.228029954585637</c:v>
                </c:pt>
                <c:pt idx="382">
                  <c:v>16.245409984330326</c:v>
                </c:pt>
                <c:pt idx="383">
                  <c:v>9.2172796325146198</c:v>
                </c:pt>
                <c:pt idx="384">
                  <c:v>12.245376512935671</c:v>
                </c:pt>
                <c:pt idx="385">
                  <c:v>17.633021325944387</c:v>
                </c:pt>
                <c:pt idx="386">
                  <c:v>11.894373627710843</c:v>
                </c:pt>
                <c:pt idx="387">
                  <c:v>17.472318673885351</c:v>
                </c:pt>
                <c:pt idx="388">
                  <c:v>18.584083550641026</c:v>
                </c:pt>
                <c:pt idx="389">
                  <c:v>16.093133867864658</c:v>
                </c:pt>
                <c:pt idx="390">
                  <c:v>8.0031142306341465</c:v>
                </c:pt>
                <c:pt idx="391">
                  <c:v>12.201181123270548</c:v>
                </c:pt>
                <c:pt idx="392">
                  <c:v>16.342136655119862</c:v>
                </c:pt>
                <c:pt idx="393">
                  <c:v>27.971419867952378</c:v>
                </c:pt>
                <c:pt idx="394">
                  <c:v>5.0615082541263448</c:v>
                </c:pt>
                <c:pt idx="395">
                  <c:v>14.730041601747255</c:v>
                </c:pt>
                <c:pt idx="396">
                  <c:v>27.185435826253514</c:v>
                </c:pt>
                <c:pt idx="397">
                  <c:v>17.314846788556963</c:v>
                </c:pt>
                <c:pt idx="398">
                  <c:v>18.368322521719517</c:v>
                </c:pt>
                <c:pt idx="399">
                  <c:v>13.954900721860142</c:v>
                </c:pt>
                <c:pt idx="400">
                  <c:v>22.499720818309392</c:v>
                </c:pt>
                <c:pt idx="401">
                  <c:v>25.957829149359117</c:v>
                </c:pt>
                <c:pt idx="402">
                  <c:v>25.025342154510874</c:v>
                </c:pt>
                <c:pt idx="403">
                  <c:v>24.329666561626986</c:v>
                </c:pt>
                <c:pt idx="404">
                  <c:v>28.035170912492781</c:v>
                </c:pt>
                <c:pt idx="405">
                  <c:v>23.845923126955604</c:v>
                </c:pt>
                <c:pt idx="406">
                  <c:v>33.498976876993197</c:v>
                </c:pt>
                <c:pt idx="407">
                  <c:v>19.144232732750002</c:v>
                </c:pt>
                <c:pt idx="408">
                  <c:v>12.878119228584614</c:v>
                </c:pt>
                <c:pt idx="409">
                  <c:v>29.001808465675673</c:v>
                </c:pt>
                <c:pt idx="410">
                  <c:v>11.664885258419154</c:v>
                </c:pt>
                <c:pt idx="411">
                  <c:v>16.173171048743718</c:v>
                </c:pt>
                <c:pt idx="412">
                  <c:v>21.203963747463344</c:v>
                </c:pt>
                <c:pt idx="413">
                  <c:v>11.114902842319529</c:v>
                </c:pt>
                <c:pt idx="414">
                  <c:v>14.505523506333333</c:v>
                </c:pt>
                <c:pt idx="415">
                  <c:v>23.668771654500002</c:v>
                </c:pt>
                <c:pt idx="416">
                  <c:v>10.16005654583015</c:v>
                </c:pt>
                <c:pt idx="417">
                  <c:v>14.404784824604654</c:v>
                </c:pt>
                <c:pt idx="418">
                  <c:v>23.931928859316773</c:v>
                </c:pt>
                <c:pt idx="419">
                  <c:v>10.4591061102</c:v>
                </c:pt>
                <c:pt idx="420">
                  <c:v>13.75586436014</c:v>
                </c:pt>
                <c:pt idx="421">
                  <c:v>21.172039653980001</c:v>
                </c:pt>
                <c:pt idx="422">
                  <c:v>9.2748307654666675</c:v>
                </c:pt>
                <c:pt idx="423">
                  <c:v>16.726424105434781</c:v>
                </c:pt>
                <c:pt idx="424">
                  <c:v>4.571659639397323</c:v>
                </c:pt>
                <c:pt idx="425">
                  <c:v>15.103120082194767</c:v>
                </c:pt>
                <c:pt idx="426">
                  <c:v>12.12932104484174</c:v>
                </c:pt>
                <c:pt idx="427">
                  <c:v>16.692316157335618</c:v>
                </c:pt>
                <c:pt idx="428">
                  <c:v>23.271563740585616</c:v>
                </c:pt>
                <c:pt idx="429">
                  <c:v>10.269317186815249</c:v>
                </c:pt>
                <c:pt idx="430">
                  <c:v>24.835316988662719</c:v>
                </c:pt>
                <c:pt idx="431">
                  <c:v>16.534893875990697</c:v>
                </c:pt>
                <c:pt idx="432">
                  <c:v>26.651219936078434</c:v>
                </c:pt>
                <c:pt idx="433">
                  <c:v>8.4944722922582478</c:v>
                </c:pt>
                <c:pt idx="434">
                  <c:v>9.7860780385904249</c:v>
                </c:pt>
                <c:pt idx="435">
                  <c:v>5.0056190198883934</c:v>
                </c:pt>
                <c:pt idx="436">
                  <c:v>5.0056190198883934</c:v>
                </c:pt>
                <c:pt idx="437">
                  <c:v>5.0056190198883934</c:v>
                </c:pt>
                <c:pt idx="438">
                  <c:v>13.567361004118645</c:v>
                </c:pt>
                <c:pt idx="439">
                  <c:v>12.82238245047253</c:v>
                </c:pt>
                <c:pt idx="440">
                  <c:v>13.567361004118645</c:v>
                </c:pt>
                <c:pt idx="441">
                  <c:v>17.059415455084743</c:v>
                </c:pt>
                <c:pt idx="442">
                  <c:v>7.0594413455000007</c:v>
                </c:pt>
                <c:pt idx="443">
                  <c:v>14.425486356477158</c:v>
                </c:pt>
                <c:pt idx="444">
                  <c:v>10.194666620361739</c:v>
                </c:pt>
                <c:pt idx="445">
                  <c:v>11.542116226634148</c:v>
                </c:pt>
                <c:pt idx="446">
                  <c:v>20.931196034345867</c:v>
                </c:pt>
                <c:pt idx="447">
                  <c:v>10.615873446571429</c:v>
                </c:pt>
                <c:pt idx="448">
                  <c:v>17.334792922738696</c:v>
                </c:pt>
                <c:pt idx="449">
                  <c:v>17.334792922738696</c:v>
                </c:pt>
                <c:pt idx="450">
                  <c:v>8.7791192551402215</c:v>
                </c:pt>
                <c:pt idx="451">
                  <c:v>8.7791192551402215</c:v>
                </c:pt>
                <c:pt idx="452">
                  <c:v>16.882243563832098</c:v>
                </c:pt>
                <c:pt idx="453">
                  <c:v>16.882243563832098</c:v>
                </c:pt>
                <c:pt idx="454">
                  <c:v>20.795018647852761</c:v>
                </c:pt>
                <c:pt idx="455">
                  <c:v>12.541287769904761</c:v>
                </c:pt>
                <c:pt idx="456">
                  <c:v>18.23144784190476</c:v>
                </c:pt>
                <c:pt idx="457">
                  <c:v>11.712153998669677</c:v>
                </c:pt>
                <c:pt idx="458">
                  <c:v>16.865575782852858</c:v>
                </c:pt>
                <c:pt idx="459">
                  <c:v>21.031367877333334</c:v>
                </c:pt>
                <c:pt idx="460">
                  <c:v>26.1231469232</c:v>
                </c:pt>
                <c:pt idx="461">
                  <c:v>11.114478810491804</c:v>
                </c:pt>
                <c:pt idx="462">
                  <c:v>16.011747724918035</c:v>
                </c:pt>
                <c:pt idx="463">
                  <c:v>11.020692130517647</c:v>
                </c:pt>
                <c:pt idx="464">
                  <c:v>13.269841551438596</c:v>
                </c:pt>
                <c:pt idx="465">
                  <c:v>18.845549102609624</c:v>
                </c:pt>
                <c:pt idx="466">
                  <c:v>5.8747969561408455</c:v>
                </c:pt>
                <c:pt idx="467">
                  <c:v>16.608266432918033</c:v>
                </c:pt>
                <c:pt idx="468">
                  <c:v>12.857086724169013</c:v>
                </c:pt>
                <c:pt idx="469">
                  <c:v>13.320100161803282</c:v>
                </c:pt>
                <c:pt idx="470">
                  <c:v>4.4388376478632487</c:v>
                </c:pt>
                <c:pt idx="471">
                  <c:v>18.293419077771429</c:v>
                </c:pt>
                <c:pt idx="472">
                  <c:v>17.989235469423729</c:v>
                </c:pt>
                <c:pt idx="473">
                  <c:v>10.860964990826709</c:v>
                </c:pt>
                <c:pt idx="474">
                  <c:v>14.298581568505565</c:v>
                </c:pt>
                <c:pt idx="475">
                  <c:v>25.928990686064374</c:v>
                </c:pt>
                <c:pt idx="476">
                  <c:v>13.065419992366413</c:v>
                </c:pt>
                <c:pt idx="477">
                  <c:v>12.830449272280703</c:v>
                </c:pt>
                <c:pt idx="478">
                  <c:v>27.425137977764312</c:v>
                </c:pt>
                <c:pt idx="479">
                  <c:v>12.244203944695432</c:v>
                </c:pt>
                <c:pt idx="480">
                  <c:v>18.989658790797385</c:v>
                </c:pt>
                <c:pt idx="481">
                  <c:v>10.247997001119266</c:v>
                </c:pt>
                <c:pt idx="482">
                  <c:v>18.341626527894736</c:v>
                </c:pt>
                <c:pt idx="483">
                  <c:v>12.753054480064172</c:v>
                </c:pt>
                <c:pt idx="484">
                  <c:v>22.110717626114109</c:v>
                </c:pt>
                <c:pt idx="485">
                  <c:v>19.922824885675439</c:v>
                </c:pt>
                <c:pt idx="486">
                  <c:v>9.2521055219879518</c:v>
                </c:pt>
                <c:pt idx="487">
                  <c:v>13.442471523854964</c:v>
                </c:pt>
                <c:pt idx="488">
                  <c:v>9.6886149695289863</c:v>
                </c:pt>
                <c:pt idx="489">
                  <c:v>11.020172019116465</c:v>
                </c:pt>
                <c:pt idx="490">
                  <c:v>17.316541920635359</c:v>
                </c:pt>
                <c:pt idx="491">
                  <c:v>25.210075568887927</c:v>
                </c:pt>
                <c:pt idx="492">
                  <c:v>23.812323815921236</c:v>
                </c:pt>
                <c:pt idx="493">
                  <c:v>16.446988807479677</c:v>
                </c:pt>
                <c:pt idx="494">
                  <c:v>23.246792977698767</c:v>
                </c:pt>
                <c:pt idx="495">
                  <c:v>22.036503601501988</c:v>
                </c:pt>
                <c:pt idx="496">
                  <c:v>25.044885026866144</c:v>
                </c:pt>
                <c:pt idx="497">
                  <c:v>23.609108710631578</c:v>
                </c:pt>
                <c:pt idx="498">
                  <c:v>21.593543878766521</c:v>
                </c:pt>
                <c:pt idx="499">
                  <c:v>20.710199653822034</c:v>
                </c:pt>
                <c:pt idx="500">
                  <c:v>21.797501350294574</c:v>
                </c:pt>
                <c:pt idx="501">
                  <c:v>22.846907004798798</c:v>
                </c:pt>
                <c:pt idx="502">
                  <c:v>18.372663672115383</c:v>
                </c:pt>
                <c:pt idx="503">
                  <c:v>24.627501944585941</c:v>
                </c:pt>
                <c:pt idx="504">
                  <c:v>26.846594403997752</c:v>
                </c:pt>
                <c:pt idx="505">
                  <c:v>23.54995078304918</c:v>
                </c:pt>
                <c:pt idx="506">
                  <c:v>13.803962604694835</c:v>
                </c:pt>
                <c:pt idx="507">
                  <c:v>15.368214647181373</c:v>
                </c:pt>
                <c:pt idx="508">
                  <c:v>17.418567831619047</c:v>
                </c:pt>
                <c:pt idx="509">
                  <c:v>15.742477026446045</c:v>
                </c:pt>
                <c:pt idx="510">
                  <c:v>20.709427305122301</c:v>
                </c:pt>
                <c:pt idx="511">
                  <c:v>25.853768665179857</c:v>
                </c:pt>
                <c:pt idx="512">
                  <c:v>27.466875510496454</c:v>
                </c:pt>
                <c:pt idx="513">
                  <c:v>28.250847371488092</c:v>
                </c:pt>
                <c:pt idx="514">
                  <c:v>23.958504504526317</c:v>
                </c:pt>
                <c:pt idx="515">
                  <c:v>28.06414556917197</c:v>
                </c:pt>
                <c:pt idx="516">
                  <c:v>18.311317115467197</c:v>
                </c:pt>
                <c:pt idx="517">
                  <c:v>23.618936875121953</c:v>
                </c:pt>
                <c:pt idx="518">
                  <c:v>15.387694863683453</c:v>
                </c:pt>
                <c:pt idx="519">
                  <c:v>26.568598265979382</c:v>
                </c:pt>
                <c:pt idx="520">
                  <c:v>9.6462692887955015</c:v>
                </c:pt>
                <c:pt idx="521">
                  <c:v>13.907185993767545</c:v>
                </c:pt>
                <c:pt idx="522">
                  <c:v>17.516569328912279</c:v>
                </c:pt>
                <c:pt idx="523">
                  <c:v>11.107233463333333</c:v>
                </c:pt>
                <c:pt idx="524">
                  <c:v>15.690973521333333</c:v>
                </c:pt>
                <c:pt idx="525">
                  <c:v>22.253934571532849</c:v>
                </c:pt>
                <c:pt idx="526">
                  <c:v>11.431809043312102</c:v>
                </c:pt>
                <c:pt idx="527">
                  <c:v>14.603076599363057</c:v>
                </c:pt>
                <c:pt idx="528">
                  <c:v>20.166043153410889</c:v>
                </c:pt>
                <c:pt idx="529">
                  <c:v>10.754272384186667</c:v>
                </c:pt>
                <c:pt idx="530">
                  <c:v>15.443105318742855</c:v>
                </c:pt>
                <c:pt idx="531">
                  <c:v>10.465549447200001</c:v>
                </c:pt>
                <c:pt idx="532">
                  <c:v>13.100698262264153</c:v>
                </c:pt>
                <c:pt idx="533">
                  <c:v>18.371733835701971</c:v>
                </c:pt>
                <c:pt idx="534">
                  <c:v>9.9739859781728821</c:v>
                </c:pt>
                <c:pt idx="535">
                  <c:v>17.644237245839175</c:v>
                </c:pt>
                <c:pt idx="536">
                  <c:v>10.957294581458077</c:v>
                </c:pt>
                <c:pt idx="537">
                  <c:v>21.942609679784105</c:v>
                </c:pt>
                <c:pt idx="538">
                  <c:v>10.493628271555552</c:v>
                </c:pt>
                <c:pt idx="539">
                  <c:v>19.832635565766232</c:v>
                </c:pt>
                <c:pt idx="540">
                  <c:v>11.327094600164179</c:v>
                </c:pt>
                <c:pt idx="541">
                  <c:v>19.701180229308267</c:v>
                </c:pt>
                <c:pt idx="542">
                  <c:v>9.4918904382302625</c:v>
                </c:pt>
                <c:pt idx="543">
                  <c:v>14.886491428875001</c:v>
                </c:pt>
                <c:pt idx="544">
                  <c:v>22.177009021124999</c:v>
                </c:pt>
                <c:pt idx="545">
                  <c:v>12.213436454601743</c:v>
                </c:pt>
                <c:pt idx="546">
                  <c:v>20.036169562281739</c:v>
                </c:pt>
                <c:pt idx="547">
                  <c:v>11.878464855490503</c:v>
                </c:pt>
                <c:pt idx="548">
                  <c:v>16.526082160901961</c:v>
                </c:pt>
                <c:pt idx="549">
                  <c:v>20.877381039490196</c:v>
                </c:pt>
                <c:pt idx="550">
                  <c:v>14.985882537262551</c:v>
                </c:pt>
                <c:pt idx="551">
                  <c:v>24.742862710070924</c:v>
                </c:pt>
                <c:pt idx="552">
                  <c:v>11.831275177936936</c:v>
                </c:pt>
                <c:pt idx="553">
                  <c:v>15.149492333471999</c:v>
                </c:pt>
                <c:pt idx="554">
                  <c:v>25.118129556060058</c:v>
                </c:pt>
                <c:pt idx="555">
                  <c:v>8.6889406747366422</c:v>
                </c:pt>
                <c:pt idx="556">
                  <c:v>12.863721169927537</c:v>
                </c:pt>
                <c:pt idx="557">
                  <c:v>18.017851669927538</c:v>
                </c:pt>
                <c:pt idx="558">
                  <c:v>16.977037950017518</c:v>
                </c:pt>
                <c:pt idx="559">
                  <c:v>21.918893516198541</c:v>
                </c:pt>
                <c:pt idx="560">
                  <c:v>10.186298358051546</c:v>
                </c:pt>
                <c:pt idx="561">
                  <c:v>11.702941109201031</c:v>
                </c:pt>
                <c:pt idx="562">
                  <c:v>20.892011895577319</c:v>
                </c:pt>
                <c:pt idx="563">
                  <c:v>16.868267710828029</c:v>
                </c:pt>
                <c:pt idx="564">
                  <c:v>16.868267710828029</c:v>
                </c:pt>
                <c:pt idx="565">
                  <c:v>19.431348399573963</c:v>
                </c:pt>
                <c:pt idx="566">
                  <c:v>11.453075842085861</c:v>
                </c:pt>
                <c:pt idx="567">
                  <c:v>18.299138388767954</c:v>
                </c:pt>
                <c:pt idx="568">
                  <c:v>16.454738026043479</c:v>
                </c:pt>
                <c:pt idx="569">
                  <c:v>10.338932081237116</c:v>
                </c:pt>
                <c:pt idx="570">
                  <c:v>16.322399373443297</c:v>
                </c:pt>
                <c:pt idx="571">
                  <c:v>13.768767765388059</c:v>
                </c:pt>
                <c:pt idx="572">
                  <c:v>17.539126658729149</c:v>
                </c:pt>
                <c:pt idx="573">
                  <c:v>23.266761639860995</c:v>
                </c:pt>
                <c:pt idx="574">
                  <c:v>10.422521731296994</c:v>
                </c:pt>
                <c:pt idx="575">
                  <c:v>16.116015656537815</c:v>
                </c:pt>
                <c:pt idx="576">
                  <c:v>13.343553868069765</c:v>
                </c:pt>
                <c:pt idx="577">
                  <c:v>20.139810513925234</c:v>
                </c:pt>
                <c:pt idx="578">
                  <c:v>10.386843629286551</c:v>
                </c:pt>
                <c:pt idx="579">
                  <c:v>15.319055153684213</c:v>
                </c:pt>
                <c:pt idx="580">
                  <c:v>10.726209739038461</c:v>
                </c:pt>
                <c:pt idx="581">
                  <c:v>19.101368882955295</c:v>
                </c:pt>
                <c:pt idx="582">
                  <c:v>8.988877365888202</c:v>
                </c:pt>
                <c:pt idx="583">
                  <c:v>16.953784825026318</c:v>
                </c:pt>
                <c:pt idx="584">
                  <c:v>8.3787564129298246</c:v>
                </c:pt>
                <c:pt idx="585">
                  <c:v>12.839955581847827</c:v>
                </c:pt>
                <c:pt idx="586">
                  <c:v>16.880044594870693</c:v>
                </c:pt>
                <c:pt idx="587">
                  <c:v>9.998548537578948</c:v>
                </c:pt>
                <c:pt idx="588">
                  <c:v>14.565650700631581</c:v>
                </c:pt>
                <c:pt idx="589">
                  <c:v>27.856429676533335</c:v>
                </c:pt>
                <c:pt idx="590">
                  <c:v>14.112224874346591</c:v>
                </c:pt>
                <c:pt idx="591">
                  <c:v>20.492030460660679</c:v>
                </c:pt>
                <c:pt idx="592">
                  <c:v>26.73332213681206</c:v>
                </c:pt>
                <c:pt idx="593">
                  <c:v>11.199572045568736</c:v>
                </c:pt>
                <c:pt idx="594">
                  <c:v>18.962334787738598</c:v>
                </c:pt>
                <c:pt idx="595">
                  <c:v>17.239718279759035</c:v>
                </c:pt>
                <c:pt idx="596">
                  <c:v>7.3976069774082402</c:v>
                </c:pt>
                <c:pt idx="597">
                  <c:v>18.962626449588011</c:v>
                </c:pt>
                <c:pt idx="598">
                  <c:v>11.518923318115307</c:v>
                </c:pt>
                <c:pt idx="599">
                  <c:v>21.39570574083039</c:v>
                </c:pt>
                <c:pt idx="600">
                  <c:v>19.660206472675323</c:v>
                </c:pt>
                <c:pt idx="601">
                  <c:v>19.974163310197802</c:v>
                </c:pt>
                <c:pt idx="602">
                  <c:v>11.77604145146193</c:v>
                </c:pt>
                <c:pt idx="603">
                  <c:v>15.285010553318919</c:v>
                </c:pt>
                <c:pt idx="604">
                  <c:v>22.992358002194596</c:v>
                </c:pt>
                <c:pt idx="605">
                  <c:v>18.120435525968752</c:v>
                </c:pt>
                <c:pt idx="606">
                  <c:v>23.722461075490198</c:v>
                </c:pt>
                <c:pt idx="607">
                  <c:v>18.721242726065793</c:v>
                </c:pt>
                <c:pt idx="608">
                  <c:v>10.593015117166667</c:v>
                </c:pt>
                <c:pt idx="609">
                  <c:v>18.857497852650862</c:v>
                </c:pt>
              </c:numCache>
            </c:numRef>
          </c:yVal>
          <c:smooth val="0"/>
        </c:ser>
        <c:dLbls>
          <c:showLegendKey val="0"/>
          <c:showVal val="1"/>
          <c:showCatName val="0"/>
          <c:showSerName val="0"/>
          <c:showPercent val="0"/>
          <c:showBubbleSize val="0"/>
        </c:dLbls>
        <c:axId val="361143592"/>
        <c:axId val="361140848"/>
      </c:scatterChart>
      <c:valAx>
        <c:axId val="361143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140848"/>
        <c:crosses val="autoZero"/>
        <c:crossBetween val="midCat"/>
      </c:valAx>
      <c:valAx>
        <c:axId val="361140848"/>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14359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395623600"/>
        <c:axId val="395622032"/>
      </c:scatterChart>
      <c:valAx>
        <c:axId val="3956236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5622032"/>
        <c:crosses val="autoZero"/>
        <c:crossBetween val="midCat"/>
      </c:valAx>
      <c:valAx>
        <c:axId val="395622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562360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4"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9.emf"/><Relationship Id="rId7" Type="http://schemas.openxmlformats.org/officeDocument/2006/relationships/image" Target="../media/image25.emf"/><Relationship Id="rId2" Type="http://schemas.openxmlformats.org/officeDocument/2006/relationships/image" Target="../media/image30.emf"/><Relationship Id="rId1" Type="http://schemas.openxmlformats.org/officeDocument/2006/relationships/image" Target="../media/image31.emf"/><Relationship Id="rId6" Type="http://schemas.openxmlformats.org/officeDocument/2006/relationships/image" Target="../media/image26.emf"/><Relationship Id="rId5" Type="http://schemas.openxmlformats.org/officeDocument/2006/relationships/image" Target="../media/image27.emf"/><Relationship Id="rId4" Type="http://schemas.openxmlformats.org/officeDocument/2006/relationships/image" Target="../media/image28.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8.emf"/><Relationship Id="rId3" Type="http://schemas.openxmlformats.org/officeDocument/2006/relationships/image" Target="../media/image45.emf"/><Relationship Id="rId7" Type="http://schemas.openxmlformats.org/officeDocument/2006/relationships/image" Target="../media/image39.emf"/><Relationship Id="rId12" Type="http://schemas.openxmlformats.org/officeDocument/2006/relationships/image" Target="../media/image47.emf"/><Relationship Id="rId17" Type="http://schemas.openxmlformats.org/officeDocument/2006/relationships/image" Target="../media/image44.emf"/><Relationship Id="rId2" Type="http://schemas.openxmlformats.org/officeDocument/2006/relationships/image" Target="../media/image43.emf"/><Relationship Id="rId16" Type="http://schemas.openxmlformats.org/officeDocument/2006/relationships/image" Target="../media/image34.emf"/><Relationship Id="rId1" Type="http://schemas.openxmlformats.org/officeDocument/2006/relationships/image" Target="../media/image42.emf"/><Relationship Id="rId6" Type="http://schemas.openxmlformats.org/officeDocument/2006/relationships/image" Target="../media/image40.emf"/><Relationship Id="rId11" Type="http://schemas.openxmlformats.org/officeDocument/2006/relationships/image" Target="../media/image35.emf"/><Relationship Id="rId5" Type="http://schemas.openxmlformats.org/officeDocument/2006/relationships/image" Target="../media/image41.emf"/><Relationship Id="rId15" Type="http://schemas.openxmlformats.org/officeDocument/2006/relationships/image" Target="../media/image50.emf"/><Relationship Id="rId10" Type="http://schemas.openxmlformats.org/officeDocument/2006/relationships/image" Target="../media/image36.emf"/><Relationship Id="rId4" Type="http://schemas.openxmlformats.org/officeDocument/2006/relationships/image" Target="../media/image46.emf"/><Relationship Id="rId9" Type="http://schemas.openxmlformats.org/officeDocument/2006/relationships/image" Target="../media/image37.emf"/><Relationship Id="rId14" Type="http://schemas.openxmlformats.org/officeDocument/2006/relationships/image" Target="../media/image4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819150</xdr:colOff>
          <xdr:row>0</xdr:row>
          <xdr:rowOff>19050</xdr:rowOff>
        </xdr:from>
        <xdr:to>
          <xdr:col>54</xdr:col>
          <xdr:colOff>495300</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0</xdr:row>
          <xdr:rowOff>0</xdr:rowOff>
        </xdr:from>
        <xdr:to>
          <xdr:col>13</xdr:col>
          <xdr:colOff>9525</xdr:colOff>
          <xdr:row>1</xdr:row>
          <xdr:rowOff>9525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266700</xdr:colOff>
          <xdr:row>0</xdr:row>
          <xdr:rowOff>0</xdr:rowOff>
        </xdr:from>
        <xdr:to>
          <xdr:col>6</xdr:col>
          <xdr:colOff>533400</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0</xdr:colOff>
          <xdr:row>1</xdr:row>
          <xdr:rowOff>9525</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0</xdr:row>
          <xdr:rowOff>0</xdr:rowOff>
        </xdr:from>
        <xdr:to>
          <xdr:col>21</xdr:col>
          <xdr:colOff>409575</xdr:colOff>
          <xdr:row>1</xdr:row>
          <xdr:rowOff>9525</xdr:rowOff>
        </xdr:to>
        <xdr:sp macro="" textlink="">
          <xdr:nvSpPr>
            <xdr:cNvPr id="2054" name="cmdAllUpdate"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0</xdr:row>
          <xdr:rowOff>9525</xdr:rowOff>
        </xdr:from>
        <xdr:to>
          <xdr:col>1</xdr:col>
          <xdr:colOff>285750</xdr:colOff>
          <xdr:row>1</xdr:row>
          <xdr:rowOff>28575</xdr:rowOff>
        </xdr:to>
        <xdr:sp macro="" textlink="">
          <xdr:nvSpPr>
            <xdr:cNvPr id="9220" name="btnCalc"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0</xdr:rowOff>
        </xdr:from>
        <xdr:to>
          <xdr:col>1</xdr:col>
          <xdr:colOff>1057275</xdr:colOff>
          <xdr:row>1</xdr:row>
          <xdr:rowOff>19050</xdr:rowOff>
        </xdr:to>
        <xdr:sp macro="" textlink="">
          <xdr:nvSpPr>
            <xdr:cNvPr id="9221" name="chkAll"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0</xdr:rowOff>
        </xdr:from>
        <xdr:to>
          <xdr:col>3</xdr:col>
          <xdr:colOff>857250</xdr:colOff>
          <xdr:row>1</xdr:row>
          <xdr:rowOff>19050</xdr:rowOff>
        </xdr:to>
        <xdr:sp macro="" textlink="">
          <xdr:nvSpPr>
            <xdr:cNvPr id="9222" name="btnRemove"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19050</xdr:colOff>
          <xdr:row>0</xdr:row>
          <xdr:rowOff>9525</xdr:rowOff>
        </xdr:from>
        <xdr:to>
          <xdr:col>62</xdr:col>
          <xdr:colOff>447675</xdr:colOff>
          <xdr:row>1</xdr:row>
          <xdr:rowOff>85725</xdr:rowOff>
        </xdr:to>
        <xdr:sp macro="" textlink="">
          <xdr:nvSpPr>
            <xdr:cNvPr id="9227" name="btnSetAllWildCards" hidden="1">
              <a:extLst>
                <a:ext uri="{63B3BB69-23CF-44E3-9099-C40C66FF867C}">
                  <a14:compatExt spid="_x0000_s9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0</xdr:row>
          <xdr:rowOff>0</xdr:rowOff>
        </xdr:from>
        <xdr:to>
          <xdr:col>2</xdr:col>
          <xdr:colOff>866775</xdr:colOff>
          <xdr:row>1</xdr:row>
          <xdr:rowOff>19050</xdr:rowOff>
        </xdr:to>
        <xdr:sp macro="" textlink="">
          <xdr:nvSpPr>
            <xdr:cNvPr id="9228" name="btnClear"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0</xdr:row>
          <xdr:rowOff>9525</xdr:rowOff>
        </xdr:from>
        <xdr:to>
          <xdr:col>1</xdr:col>
          <xdr:colOff>285750</xdr:colOff>
          <xdr:row>1</xdr:row>
          <xdr:rowOff>28575</xdr:rowOff>
        </xdr:to>
        <xdr:sp macro="" textlink="">
          <xdr:nvSpPr>
            <xdr:cNvPr id="23553" name="btnCalc"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0</xdr:rowOff>
        </xdr:from>
        <xdr:to>
          <xdr:col>1</xdr:col>
          <xdr:colOff>1057275</xdr:colOff>
          <xdr:row>1</xdr:row>
          <xdr:rowOff>19050</xdr:rowOff>
        </xdr:to>
        <xdr:sp macro="" textlink="">
          <xdr:nvSpPr>
            <xdr:cNvPr id="23554" name="chkAll"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0</xdr:rowOff>
        </xdr:from>
        <xdr:to>
          <xdr:col>3</xdr:col>
          <xdr:colOff>857250</xdr:colOff>
          <xdr:row>1</xdr:row>
          <xdr:rowOff>19050</xdr:rowOff>
        </xdr:to>
        <xdr:sp macro="" textlink="">
          <xdr:nvSpPr>
            <xdr:cNvPr id="23555" name="btnRemove" hidden="1">
              <a:extLst>
                <a:ext uri="{63B3BB69-23CF-44E3-9099-C40C66FF867C}">
                  <a14:compatExt spid="_x0000_s235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19050</xdr:colOff>
          <xdr:row>0</xdr:row>
          <xdr:rowOff>9525</xdr:rowOff>
        </xdr:from>
        <xdr:to>
          <xdr:col>62</xdr:col>
          <xdr:colOff>466725</xdr:colOff>
          <xdr:row>1</xdr:row>
          <xdr:rowOff>85725</xdr:rowOff>
        </xdr:to>
        <xdr:sp macro="" textlink="">
          <xdr:nvSpPr>
            <xdr:cNvPr id="23556" name="btnSetAllWildCards" hidden="1">
              <a:extLst>
                <a:ext uri="{63B3BB69-23CF-44E3-9099-C40C66FF867C}">
                  <a14:compatExt spid="_x0000_s235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0</xdr:row>
          <xdr:rowOff>0</xdr:rowOff>
        </xdr:from>
        <xdr:to>
          <xdr:col>2</xdr:col>
          <xdr:colOff>885825</xdr:colOff>
          <xdr:row>1</xdr:row>
          <xdr:rowOff>19050</xdr:rowOff>
        </xdr:to>
        <xdr:sp macro="" textlink="">
          <xdr:nvSpPr>
            <xdr:cNvPr id="23557" name="btnClear" hidden="1">
              <a:extLst>
                <a:ext uri="{63B3BB69-23CF-44E3-9099-C40C66FF867C}">
                  <a14:compatExt spid="_x0000_s235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485775</xdr:colOff>
          <xdr:row>0</xdr:row>
          <xdr:rowOff>0</xdr:rowOff>
        </xdr:from>
        <xdr:to>
          <xdr:col>64</xdr:col>
          <xdr:colOff>171450</xdr:colOff>
          <xdr:row>1</xdr:row>
          <xdr:rowOff>76200</xdr:rowOff>
        </xdr:to>
        <xdr:sp macro="" textlink="">
          <xdr:nvSpPr>
            <xdr:cNvPr id="23558" name="btnAddRocketTroupe" hidden="1">
              <a:extLst>
                <a:ext uri="{63B3BB69-23CF-44E3-9099-C40C66FF867C}">
                  <a14:compatExt spid="_x0000_s235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190500</xdr:colOff>
          <xdr:row>0</xdr:row>
          <xdr:rowOff>9525</xdr:rowOff>
        </xdr:from>
        <xdr:to>
          <xdr:col>66</xdr:col>
          <xdr:colOff>76200</xdr:colOff>
          <xdr:row>1</xdr:row>
          <xdr:rowOff>76200</xdr:rowOff>
        </xdr:to>
        <xdr:sp macro="" textlink="">
          <xdr:nvSpPr>
            <xdr:cNvPr id="23559" name="chkRemoveAtk" hidden="1">
              <a:extLst>
                <a:ext uri="{63B3BB69-23CF-44E3-9099-C40C66FF867C}">
                  <a14:compatExt spid="_x0000_s23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0</xdr:colOff>
          <xdr:row>0</xdr:row>
          <xdr:rowOff>0</xdr:rowOff>
        </xdr:from>
        <xdr:to>
          <xdr:col>33</xdr:col>
          <xdr:colOff>0</xdr:colOff>
          <xdr:row>1</xdr:row>
          <xdr:rowOff>9525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0</xdr:colOff>
          <xdr:row>1</xdr:row>
          <xdr:rowOff>9525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9525</xdr:rowOff>
        </xdr:from>
        <xdr:to>
          <xdr:col>12</xdr:col>
          <xdr:colOff>409575</xdr:colOff>
          <xdr:row>1</xdr:row>
          <xdr:rowOff>95250</xdr:rowOff>
        </xdr:to>
        <xdr:sp macro="" textlink="">
          <xdr:nvSpPr>
            <xdr:cNvPr id="29697" name="CommandButton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20" totalsRowShown="0" headerRowDxfId="290" dataDxfId="289">
  <autoFilter ref="A1:Q620"/>
  <sortState ref="A2:Q620">
    <sortCondition ref="A2:A620"/>
    <sortCondition ref="B2:B620"/>
  </sortState>
  <tableColumns count="17">
    <tableColumn id="1" name="番号" dataDxfId="288"/>
    <tableColumn id="2" name="種族名" dataDxfId="287"/>
    <tableColumn id="3" name="タイプ1" dataDxfId="286"/>
    <tableColumn id="4" name="タイプ2" dataDxfId="285"/>
    <tableColumn id="5" name="CP" dataDxfId="284"/>
    <tableColumn id="6" name="HP" dataDxfId="283"/>
    <tableColumn id="7" name="ATK" dataDxfId="282"/>
    <tableColumn id="8" name="DEF" dataDxfId="281"/>
    <tableColumn id="9" name="色違い" dataDxfId="280"/>
    <tableColumn id="10" name="シャドウ" dataDxfId="279"/>
    <tableColumn id="11" name="野生" dataDxfId="278"/>
    <tableColumn id="12" name="孵化距離" dataDxfId="277"/>
    <tableColumn id="13" name="相棒距離" dataDxfId="276"/>
    <tableColumn id="17" name="通常わざ" dataDxfId="275"/>
    <tableColumn id="14" name="限定通常わざ" dataDxfId="274"/>
    <tableColumn id="18" name="ゲージわざ" dataDxfId="273"/>
    <tableColumn id="15" name="限定ゲージわざ" dataDxfId="272"/>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O612" totalsRowShown="0" headerRowDxfId="271">
  <autoFilter ref="A2:BO612"/>
  <sortState ref="A3:BO612">
    <sortCondition ref="A3:A612"/>
    <sortCondition ref="B3:B612"/>
  </sortState>
  <tableColumns count="67">
    <tableColumn id="1" name="番号" dataDxfId="270"/>
    <tableColumn id="2" name="種族名" dataDxfId="269"/>
    <tableColumn id="3" name="タイプ" dataDxfId="268"/>
    <tableColumn id="4" name="x2.56" dataDxfId="267"/>
    <tableColumn id="5" name="x1.6" dataDxfId="266"/>
    <tableColumn id="6" name="x0.625" dataDxfId="265"/>
    <tableColumn id="7" name="x0.39" dataDxfId="264"/>
    <tableColumn id="8" name="x0.244" dataDxfId="263"/>
    <tableColumn id="9" name="攻撃力" dataDxfId="262"/>
    <tableColumn id="10" name="防御力" dataDxfId="261"/>
    <tableColumn id="11" name="HP" dataDxfId="260"/>
    <tableColumn id="12" name="CP" dataDxfId="259"/>
    <tableColumn id="13" name="SCP" dataDxfId="258"/>
    <tableColumn id="14" name="DCP" dataDxfId="257"/>
    <tableColumn id="15" name="耐久力" dataDxfId="256"/>
    <tableColumn id="16" name="　_g" dataDxfId="255"/>
    <tableColumn id="17" name="わざ名_gnD"/>
    <tableColumn id="18" name="ダメージ_gnD" dataDxfId="254"/>
    <tableColumn id="19" name="わざ名_gnDps"/>
    <tableColumn id="20" name="tDPS_gnDps" dataDxfId="253"/>
    <tableColumn id="21" name="わざ名_gnEps"/>
    <tableColumn id="22" name="EPS_gnEps" dataDxfId="252"/>
    <tableColumn id="23" name="わざ名_gsD" dataDxfId="251"/>
    <tableColumn id="24" name="ダメージ_gsD" dataDxfId="250"/>
    <tableColumn id="25" name="わざ名_gsDps" dataDxfId="249"/>
    <tableColumn id="26" name="tDPS_gsDps" dataDxfId="248"/>
    <tableColumn id="27" name="通常わざ_gnCdps1"/>
    <tableColumn id="28" name="ゲージわざ_gsCdps1"/>
    <tableColumn id="29" name="cDPS_gCdps1" dataDxfId="247"/>
    <tableColumn id="30" name="通常わざ_gnCdps2" dataDxfId="246"/>
    <tableColumn id="31" name="ゲージわざ_gsCdps2" dataDxfId="245"/>
    <tableColumn id="32" name="cDPS_gCdps2" dataDxfId="244"/>
    <tableColumn id="33" name="通常わざ_gnCdps3"/>
    <tableColumn id="34" name="ゲージわざ_gsCdps3"/>
    <tableColumn id="35" name="cDPS_gCdps3" dataDxfId="243"/>
    <tableColumn id="36" name="通常わざ_gnCdps4"/>
    <tableColumn id="37" name="ゲージわざ_gsCdps4" dataDxfId="242"/>
    <tableColumn id="38" name="cDPS_gCdps4" dataDxfId="241"/>
    <tableColumn id="39" name="通常わざ_gnCdps5"/>
    <tableColumn id="40" name="ゲージわざ_gsCdps5"/>
    <tableColumn id="41" name="cDPS_gCdps5" dataDxfId="240"/>
    <tableColumn id="42" name="　_m" dataDxfId="239"/>
    <tableColumn id="43" name="わざ名_mnD"/>
    <tableColumn id="44" name="ダメージ_mnD" dataDxfId="238"/>
    <tableColumn id="45" name="わざ名_mnDps"/>
    <tableColumn id="46" name="tDPT_mnDps" dataDxfId="237"/>
    <tableColumn id="47" name="わざ名_mnEps" dataDxfId="236"/>
    <tableColumn id="48" name="EPT_mnEps" dataDxfId="235"/>
    <tableColumn id="49" name="わざ名_msD"/>
    <tableColumn id="50" name="ダメージ_msD" dataDxfId="234"/>
    <tableColumn id="51" name="わざ名_msDps" dataDxfId="233"/>
    <tableColumn id="52" name="tDPE_msDps" dataDxfId="232"/>
    <tableColumn id="53" name="通常わざ_mnCdps1" dataDxfId="231"/>
    <tableColumn id="54" name="ゲージわざ_msCdps1" dataDxfId="230"/>
    <tableColumn id="55" name="cDPT_mCdps1" dataDxfId="229"/>
    <tableColumn id="56" name="通常わざ_mnCdps2" dataDxfId="228"/>
    <tableColumn id="57" name="ゲージわざ_msCdps2" dataDxfId="227"/>
    <tableColumn id="58" name="cDPT_mCdps2" dataDxfId="226"/>
    <tableColumn id="59" name="通常わざ_mnCdps3" dataDxfId="225"/>
    <tableColumn id="60" name="ゲージわざ_msCdps3"/>
    <tableColumn id="61" name="cDPT_mCdps3" dataDxfId="224"/>
    <tableColumn id="62" name="通常わざ_mnCdps4"/>
    <tableColumn id="63" name="ゲージわざ_msCdps4" dataDxfId="223"/>
    <tableColumn id="64" name="cDPT_mCdps4" dataDxfId="222"/>
    <tableColumn id="65" name="通常わざ_mnCdps5"/>
    <tableColumn id="66" name="ゲージわざ_msCdps5" dataDxfId="221"/>
    <tableColumn id="67" name="cDPT_mCdps5" dataDxfId="220"/>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219" dataDxfId="218">
  <autoFilter ref="A2:R84"/>
  <sortState ref="A3:R84">
    <sortCondition ref="A3:A84"/>
  </sortState>
  <tableColumns count="18">
    <tableColumn id="1" name="わざ名" dataDxfId="217"/>
    <tableColumn id="2" name="タイプ" dataDxfId="216"/>
    <tableColumn id="3" name="威力_g" dataDxfId="215"/>
    <tableColumn id="13" name="チャージ_g" dataDxfId="214"/>
    <tableColumn id="4" name="時間_it" dataDxfId="213"/>
    <tableColumn id="6" name="DPS" dataDxfId="212"/>
    <tableColumn id="5" name="EPS" dataDxfId="211"/>
    <tableColumn id="7" name="時間_dd" dataDxfId="210"/>
    <tableColumn id="8" name="威力_m" dataDxfId="209"/>
    <tableColumn id="9" name="チャージ_m" dataDxfId="208"/>
    <tableColumn id="10" name="ターン_it" dataDxfId="207"/>
    <tableColumn id="11" name="DPT" dataDxfId="206"/>
    <tableColumn id="12" name="EPT" dataDxfId="205"/>
    <tableColumn id="18" name="補正" dataDxfId="204">
      <calculatedColumnFormula>IF(OR(通常わざ表[[#This Row],[タイプ]]=$V$2,通常わざ表[[#This Row],[タイプ]]=$W$2),"↑","")</calculatedColumnFormula>
    </tableColumn>
    <tableColumn id="14" name="威力_gc" dataDxfId="203">
      <calculatedColumnFormula>IF(OR(通常わざ表[[#This Row],[タイプ]]=$V$2,通常わざ表[[#This Row],[タイプ]]=$W$2),通常わざ表[[#This Row],[威力_g]]*タイプ一致係数,通常わざ表[[#This Row],[威力_g]])</calculatedColumnFormula>
    </tableColumn>
    <tableColumn id="15" name="DPS_gc" dataDxfId="202">
      <calculatedColumnFormula>IF(OR(通常わざ表[[#This Row],[タイプ]]=$V$2,通常わざ表[[#This Row],[タイプ]]=$W$2),通常わざ表[[#This Row],[DPS]]*タイプ一致係数,通常わざ表[[#This Row],[DPS]])</calculatedColumnFormula>
    </tableColumn>
    <tableColumn id="16" name="威力_mc" dataDxfId="201">
      <calculatedColumnFormula>IF(OR(通常わざ表[[#This Row],[タイプ]]=$V$2,通常わざ表[[#This Row],[タイプ]]=$W$2),通常わざ表[[#This Row],[威力_m]]*タイプ一致係数,通常わざ表[[#This Row],[威力_m]])</calculatedColumnFormula>
    </tableColumn>
    <tableColumn id="17" name="DPT_mc" dataDxfId="200">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5" totalsRowShown="0" headerRowDxfId="199" dataDxfId="198">
  <autoFilter ref="A2:R145"/>
  <sortState ref="A3:R145">
    <sortCondition ref="A3:A145"/>
  </sortState>
  <tableColumns count="18">
    <tableColumn id="1" name="わざ名" dataDxfId="197"/>
    <tableColumn id="2" name="タイプ" dataDxfId="196"/>
    <tableColumn id="3" name="威力_g" dataDxfId="195"/>
    <tableColumn id="4" name="時間_it" dataDxfId="194"/>
    <tableColumn id="5" name="DPS" dataDxfId="193"/>
    <tableColumn id="6" name="数_gage" dataDxfId="192"/>
    <tableColumn id="7" name="時間_dd" dataDxfId="191"/>
    <tableColumn id="8" name="威力_m" dataDxfId="190"/>
    <tableColumn id="9" name="量_gage" dataDxfId="189"/>
    <tableColumn id="10" name="DPE" dataDxfId="188"/>
    <tableColumn id="18" name="効果" dataDxfId="187"/>
    <tableColumn id="17" name="階" dataDxfId="186"/>
    <tableColumn id="16" name="率" dataDxfId="185"/>
    <tableColumn id="15" name="補正" dataDxfId="184">
      <calculatedColumnFormula>IF(OR(ゲージわざ表[[#This Row],[タイプ]]=$V$2,ゲージわざ表[[#This Row],[タイプ]]=$W$2),"↑","")</calculatedColumnFormula>
    </tableColumn>
    <tableColumn id="11" name="威力_gc" dataDxfId="183">
      <calculatedColumnFormula>IF(OR(ゲージわざ表[[#This Row],[タイプ]]=$V$2,ゲージわざ表[[#This Row],[タイプ]]=$W$2),ゲージわざ表[[#This Row],[威力_g]]*タイプ一致係数,ゲージわざ表[[#This Row],[威力_g]])</calculatedColumnFormula>
    </tableColumn>
    <tableColumn id="12" name="DPS_gc" dataDxfId="182">
      <calculatedColumnFormula>IF(OR(ゲージわざ表[[#This Row],[タイプ]]=$V$2,ゲージわざ表[[#This Row],[タイプ]]=$W$2),ゲージわざ表[[#This Row],[DPS]]*タイプ一致係数,ゲージわざ表[[#This Row],[DPS]])</calculatedColumnFormula>
    </tableColumn>
    <tableColumn id="13" name="威力_mc" dataDxfId="181">
      <calculatedColumnFormula>IF(OR(ゲージわざ表[[#This Row],[タイプ]]=$V$2,ゲージわざ表[[#This Row],[タイプ]]=$W$2),ゲージわざ表[[#This Row],[威力_m]]*タイプ一致係数,ゲージわざ表[[#This Row],[威力_m]])</calculatedColumnFormula>
    </tableColumn>
    <tableColumn id="14" name="DPE_mc" dataDxfId="180">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E3" totalsRowShown="0" headerRowDxfId="179" dataDxfId="178">
  <autoFilter ref="A2:CE3"/>
  <sortState ref="A3:CE473">
    <sortCondition descending="1" ref="F2:F473"/>
  </sortState>
  <tableColumns count="83">
    <tableColumn id="1" name="ニックネーム" dataDxfId="177"/>
    <tableColumn id="2" name="タイプ1" dataDxfId="176"/>
    <tableColumn id="3" name="タイプ2" dataDxfId="175"/>
    <tableColumn id="4" name="種族名" dataDxfId="174"/>
    <tableColumn id="74" name="番号" dataDxfId="173"/>
    <tableColumn id="5" name="CP" dataDxfId="172"/>
    <tableColumn id="6" name="HP" dataDxfId="171"/>
    <tableColumn id="7" name="ATK_ind" dataDxfId="170"/>
    <tableColumn id="8" name="DEF_ind" dataDxfId="169"/>
    <tableColumn id="9" name="HP_ind" dataDxfId="168"/>
    <tableColumn id="10" name="通常わざ" dataDxfId="167"/>
    <tableColumn id="11" name="ゲージわざ1" dataDxfId="166"/>
    <tableColumn id="12" name="ゲージわざ2" dataDxfId="165"/>
    <tableColumn id="13" name="PL_fix" dataDxfId="164"/>
    <tableColumn id="14" name="PL" dataDxfId="163">
      <calculatedColumnFormula>IF(個体表[[#This Row],[PL_fix]]&gt;0, 個体表[[#This Row],[PL_fix]], getPL(個体表[[#This Row],[種族名]], 個体表[[#This Row],[CP]], 個体表[[#This Row],[HP]], 個体表[[#This Row],[ATK_ind]], 個体表[[#This Row],[DEF_ind]], 個体表[[#This Row],[HP_ind]]) )</calculatedColumnFormula>
    </tableColumn>
    <tableColumn id="17" name="攻撃力" dataDxfId="162">
      <calculatedColumnFormula>IF(個体表[[#This Row],[PL]]=0, "",
(INDEX(種族元表[],MATCH(個体表[[#This Row],[種族名]],種族元表[種族名],0), COLUMN(種族元表[[#Headers],[ATK]])) + 個体表[[#This Row],[ATK_ind]])
* VLOOKUP(個体表[[#This Row],[PL]],CPM表[],2,FALSE))</calculatedColumnFormula>
    </tableColumn>
    <tableColumn id="18" name="防御力" dataDxfId="161">
      <calculatedColumnFormula>IF(個体表[[#This Row],[PL]]=0, "",
(INDEX(種族元表[],MATCH(個体表[[#This Row],[種族名]],種族元表[種族名],0), COLUMN(種族元表[[#Headers],[DEF]])) + 個体表[[#This Row],[DEF_ind]])
* VLOOKUP(個体表[[#This Row],[PL]],CPM表[],2,FALSE))</calculatedColumnFormula>
    </tableColumn>
    <tableColumn id="19" name="HP2" dataDxfId="160">
      <calculatedColumnFormula>IF(個体表[[#This Row],[PL]]=0, "",
(INDEX(種族元表[],MATCH(個体表[[#This Row],[種族名]],種族元表[種族名],0), COLUMN(種族元表[[#Headers],[HP]])) + 個体表[[#This Row],[HP_ind]])
* VLOOKUP(個体表[[#This Row],[PL]],CPM表[],2,FALSE))</calculatedColumnFormula>
    </tableColumn>
    <tableColumn id="30" name="SCP" dataDxfId="159">
      <calculatedColumnFormula>IF(個体表[[#This Row],[PL]]=0, "",(個体表[[#This Row],[攻撃力]]*個体表[[#This Row],[防御力]]*個体表[[#This Row],[HP2]])^(2/3)/10)</calculatedColumnFormula>
    </tableColumn>
    <tableColumn id="29" name="DCP" dataDxfId="158">
      <calculatedColumnFormula>IF(個体表[[#This Row],[PL]]=0, "",(個体表[[#This Row],[攻撃力]]*個体表[[#This Row],[防御力]]^2*個体表[[#This Row],[HP2]]^2)^(2/5)/10)</calculatedColumnFormula>
    </tableColumn>
    <tableColumn id="28" name="耐久力" dataDxfId="157">
      <calculatedColumnFormula>IF(個体表[[#This Row],[PL]]=0, "",個体表[[#This Row],[HP2]]/(1000/個体表[[#This Row],[防御力]]+1))</calculatedColumnFormula>
    </tableColumn>
    <tableColumn id="49" name="　_g" dataDxfId="156"/>
    <tableColumn id="15" name="ダメージ_gn" dataDxfId="155"/>
    <tableColumn id="50" name="tDPS_gn" dataDxfId="154"/>
    <tableColumn id="16" name="ダメージ_gs1" dataDxfId="153"/>
    <tableColumn id="51" name="tDPS_gs1" dataDxfId="152"/>
    <tableColumn id="20" name="cDPS_gs1" dataDxfId="151"/>
    <tableColumn id="21" name="ダメージ_gs2" dataDxfId="150"/>
    <tableColumn id="58" name="tDPS_gs2" dataDxfId="149"/>
    <tableColumn id="24" name="cDPS_gs2" dataDxfId="148"/>
    <tableColumn id="59" name="　_m" dataDxfId="147"/>
    <tableColumn id="22" name="ダメージ_mn" dataDxfId="146"/>
    <tableColumn id="60" name="tDPT_mn" dataDxfId="145"/>
    <tableColumn id="23" name="ダメージ_ms1" dataDxfId="144"/>
    <tableColumn id="25" name="cDPT_ms1" dataDxfId="143"/>
    <tableColumn id="26" name="ダメージ_ms2" dataDxfId="142"/>
    <tableColumn id="27" name="cDPT_ms2" dataDxfId="141"/>
    <tableColumn id="31" name="_pr" dataDxfId="140"/>
    <tableColumn id="32" name="PL_Target" dataDxfId="139"/>
    <tableColumn id="35" name="PL_pr" dataDxfId="138">
      <calculatedColumnFormula>IF(個体表[[#This Row],[PL_Target]]&gt;0,個体表[[#This Row],[PL_Target]], IF(個体表[[#This Row],[PL]]&lt;30, 30, IF(個体表[[#This Row],[PL]]&lt;40, 個体表[[#This Row],[PL]]+0.5,40)))</calculatedColumnFormula>
    </tableColumn>
    <tableColumn id="44" name="Δ_PL" dataDxfId="137">
      <calculatedColumnFormula>IF(個体表[[#This Row],[PL_pr]]=個体表[[#This Row],[PL]],"",個体表[[#This Row],[PL_pr]]-個体表[[#This Row],[PL]])</calculatedColumnFormula>
    </tableColumn>
    <tableColumn id="43" name="アメ" dataDxfId="136">
      <calculatedColumnFormula>IF(個体表[[#This Row],[PL]]=個体表[[#This Row],[PL_pr]],"",SUMIFS(CPM表[アメ],CPM表[PL],"&gt;"&amp;個体表[[#This Row],[PL]],CPM表[PL],"&lt;="&amp;個体表[[#This Row],[PL_pr]]))</calculatedColumnFormula>
    </tableColumn>
    <tableColumn id="42" name="星の砂" dataDxfId="135">
      <calculatedColumnFormula>IF(個体表[[#This Row],[PL]]=個体表[[#This Row],[PL_pr]],"",SUMIFS(CPM表[ほしのすな],CPM表[PL],"&gt;"&amp;個体表[[#This Row],[PL]],CPM表[PL],"&lt;="&amp;個体表[[#This Row],[PL_pr]]))</calculatedColumnFormula>
    </tableColumn>
    <tableColumn id="48" name="CP_pr" dataDxfId="134">
      <calculatedColumnFormula>IF(個体表[[#This Row],[HP2_pr]]="","",
FLOOR(個体表[[#This Row],[攻撃力_pr]]*SQRT(個体表[[#This Row],[防御力_pr]])*SQRT(個体表[[#This Row],[HP2_pr]])/10,1))</calculatedColumnFormula>
    </tableColumn>
    <tableColumn id="45" name="HP_pr" dataDxfId="133">
      <calculatedColumnFormula>IF(個体表[[#This Row],[HP2_pr]]="","",FLOOR(個体表[[#This Row],[HP2_pr]],1))</calculatedColumnFormula>
    </tableColumn>
    <tableColumn id="73" name="Δ_HP" dataDxfId="132">
      <calculatedColumnFormula>IF(個体表[[#This Row],[HP_pr]]="","",(個体表[[#This Row],[HP_pr]]-個体表[[#This Row],[HP]])/個体表[[#This Row],[HP]])</calculatedColumnFormula>
    </tableColumn>
    <tableColumn id="62" name="攻撃力_pr" dataDxfId="131">
      <calculatedColumnFormula>IF(個体表[[#This Row],[PL]]=個体表[[#This Row],[PL_pr]],"",
(INDEX(種族元表[],MATCH(個体表[[#This Row],[種族名]],種族元表[種族名],0), COLUMN(種族元表[[#Headers],[ATK]])) + 個体表[[#This Row],[ATK_ind]])
* VLOOKUP(個体表[[#This Row],[PL_pr]],CPM表[],2,FALSE))</calculatedColumnFormula>
    </tableColumn>
    <tableColumn id="69" name="Δ_AtkP" dataDxfId="130">
      <calculatedColumnFormula>IF(個体表[[#This Row],[攻撃力_pr]]="","",(個体表[[#This Row],[攻撃力_pr]]-個体表[[#This Row],[攻撃力]])/個体表[[#This Row],[攻撃力]])</calculatedColumnFormula>
    </tableColumn>
    <tableColumn id="67" name="防御力_pr" dataDxfId="129">
      <calculatedColumnFormula>IF(個体表[[#This Row],[PL]]=個体表[[#This Row],[PL_pr]],"",
(INDEX(種族元表[],MATCH(個体表[[#This Row],[種族名]],種族元表[種族名],0), COLUMN(種族元表[[#Headers],[DEF]])) + 個体表[[#This Row],[DEF_ind]])
* VLOOKUP(個体表[[#This Row],[PL_pr]],CPM表[],2,FALSE))</calculatedColumnFormula>
    </tableColumn>
    <tableColumn id="61" name="Δ_DefP" dataDxfId="128">
      <calculatedColumnFormula>IF(個体表[[#This Row],[防御力_pr]]="","",(個体表[[#This Row],[防御力_pr]]-個体表[[#This Row],[防御力]])/個体表[[#This Row],[防御力]])</calculatedColumnFormula>
    </tableColumn>
    <tableColumn id="76" name="HP2_pr" dataDxfId="127">
      <calculatedColumnFormula>IF(個体表[[#This Row],[PL]]=個体表[[#This Row],[PL_pr]],"",
(INDEX(種族元表[],MATCH(個体表[[#This Row],[種族名]],種族元表[種族名],0), COLUMN(種族元表[[#Headers],[HP]])) + 個体表[[#This Row],[HP_ind]])
* VLOOKUP(個体表[[#This Row],[PL_pr]],CPM表[],2,FALSE))</calculatedColumnFormula>
    </tableColumn>
    <tableColumn id="46" name="耐久力_pr" dataDxfId="126">
      <calculatedColumnFormula>IF(OR(個体表[[#This Row],[HP_pr]]="",個体表[[#This Row],[防御力_pr]]=""),"",個体表[[#This Row],[HP_pr]]/(1000/個体表[[#This Row],[防御力_pr]]+1))</calculatedColumnFormula>
    </tableColumn>
    <tableColumn id="47" name="Δ_End" dataDxfId="125">
      <calculatedColumnFormula>IF(個体表[[#This Row],[耐久力_pr]]="","",(個体表[[#This Row],[耐久力_pr]]-個体表[[#This Row],[耐久力]])/個体表[[#This Row],[耐久力]])</calculatedColumnFormula>
    </tableColumn>
    <tableColumn id="33" name="通常わざ_pr" dataDxfId="124"/>
    <tableColumn id="34" name="ゲージわざ_pr" dataDxfId="123"/>
    <tableColumn id="68" name="　_prg" dataDxfId="122"/>
    <tableColumn id="78" name="わざ名_prgn" dataDxfId="121"/>
    <tableColumn id="36" name="ダメージ_prgn" dataDxfId="120"/>
    <tableColumn id="37" name="Δ_D_prgn" dataDxfId="119">
      <calculatedColumnFormula>IF(個体表[[#This Row],[ダメージ_prgn]]="","",(個体表[[#This Row],[ダメージ_prgn]]-個体表[[#This Row],[ダメージ_gn]])/個体表[[#This Row],[ダメージ_gn]])</calculatedColumnFormula>
    </tableColumn>
    <tableColumn id="64" name="tDPS_prgn" dataDxfId="118"/>
    <tableColumn id="63" name="Δ_tDPS_prgn" dataDxfId="117">
      <calculatedColumnFormula>IF(個体表[[#This Row],[tDPS_prgn]]="","",(個体表[[#This Row],[tDPS_prgn]]-個体表[[#This Row],[tDPS_gn]])/個体表[[#This Row],[tDPS_gn]])</calculatedColumnFormula>
    </tableColumn>
    <tableColumn id="77" name="わざ名_prgs" dataDxfId="116"/>
    <tableColumn id="38" name="ダメージ_prgs" dataDxfId="115"/>
    <tableColumn id="39" name="Δ_D_prgs" dataDxfId="114">
      <calculatedColumnFormula>IF(個体表[[#This Row],[ダメージ_prgs]]="","",(個体表[[#This Row],[ダメージ_prgs]]-個体表[[#This Row],[ダメージ_gs1]])/個体表[[#This Row],[ダメージ_gs1]])</calculatedColumnFormula>
    </tableColumn>
    <tableColumn id="66" name="tDPS_prgs" dataDxfId="113"/>
    <tableColumn id="65" name="Δ_tDPS_prgs" dataDxfId="112">
      <calculatedColumnFormula>IF(個体表[[#This Row],[tDPS_prgs]]="","",(個体表[[#This Row],[tDPS_prgs]]-個体表[[#This Row],[tDPS_gs1]])/個体表[[#This Row],[tDPS_gs1]])</calculatedColumnFormula>
    </tableColumn>
    <tableColumn id="79" name="通常わざ_cDPS_prg" dataDxfId="111"/>
    <tableColumn id="83" name="ゲージわざ_cDPS_prg" dataDxfId="110"/>
    <tableColumn id="40" name="cDPS_prg" dataDxfId="109"/>
    <tableColumn id="41" name="Δ_cDPS_prg" dataDxfId="108">
      <calculatedColumnFormula>IF(個体表[[#This Row],[cDPS_prg]]="","",(個体表[[#This Row],[cDPS_prg]]-MAX(個体表[[#This Row],[cDPS_gs1]],個体表[[#This Row],[cDPS_gs2]]))/MAX(個体表[[#This Row],[cDPS_gs1]],個体表[[#This Row],[cDPS_gs2]]))</calculatedColumnFormula>
    </tableColumn>
    <tableColumn id="70" name="　_prm" dataDxfId="107"/>
    <tableColumn id="80" name="わざ名_prmn" dataDxfId="106"/>
    <tableColumn id="52" name="ダメージ_prmn" dataDxfId="105"/>
    <tableColumn id="53" name="Δ_D_prmn" dataDxfId="104">
      <calculatedColumnFormula>IF(個体表[[#This Row],[ダメージ_prmn]]="","",(個体表[[#This Row],[ダメージ_prmn]]-個体表[[#This Row],[ダメージ_mn]])/個体表[[#This Row],[ダメージ_mn]])</calculatedColumnFormula>
    </tableColumn>
    <tableColumn id="72" name="tDPT_prmn" dataDxfId="103"/>
    <tableColumn id="71" name="Δ_tDPT_prmn" dataDxfId="102">
      <calculatedColumnFormula>IF(個体表[[#This Row],[tDPT_prmn]]="","",(個体表[[#This Row],[tDPT_prmn]]-個体表[[#This Row],[tDPT_mn]])/個体表[[#This Row],[tDPT_mn]])</calculatedColumnFormula>
    </tableColumn>
    <tableColumn id="81" name="わざ名_prms" dataDxfId="101"/>
    <tableColumn id="54" name="ダメージ_prms" dataDxfId="100"/>
    <tableColumn id="55" name="Δ_D_prms" dataDxfId="99">
      <calculatedColumnFormula>IF(個体表[[#This Row],[ダメージ_prms]]="","",(個体表[[#This Row],[ダメージ_prms]]-個体表[[#This Row],[ダメージ_ms1]])/個体表[[#This Row],[ダメージ_ms1]])</calculatedColumnFormula>
    </tableColumn>
    <tableColumn id="82" name="通常わざ_cDPS_prm" dataDxfId="98"/>
    <tableColumn id="84" name="ゲージわざ_cDPS_prm" dataDxfId="97"/>
    <tableColumn id="56" name="cDPT_prm" dataDxfId="96"/>
    <tableColumn id="57" name="Δ_cDPT_prm" dataDxfId="95">
      <calculatedColumnFormula>IF(個体表[[#This Row],[cDPT_prm]]="","",(個体表[[#This Row],[cDPT_prm]]-MAX(個体表[[#This Row],[cDPT_ms1]],個体表[[#This Row],[cDPT_ms2]]))/MAX(個体表[[#This Row],[cDPT_ms1]],個体表[[#This Row],[cDPT_ms2]]))</calculatedColumnFormula>
    </tableColumn>
  </tableColumns>
  <tableStyleInfo name="TableStyleMedium3" showFirstColumn="0" showLastColumn="0" showRowStripes="1" showColumnStripes="0"/>
</table>
</file>

<file path=xl/tables/table6.xml><?xml version="1.0" encoding="utf-8"?>
<table xmlns="http://schemas.openxmlformats.org/spreadsheetml/2006/main" id="8" name="ジム戦ランキング" displayName="ジム戦ランキング" ref="A2:BA3" totalsRowShown="0" headerRowDxfId="94">
  <tableColumns count="53">
    <tableColumn id="1" name="種族名" dataDxfId="69"/>
    <tableColumn id="2" name="備考" dataDxfId="68"/>
    <tableColumn id="3" name="通常わざ" dataDxfId="67"/>
    <tableColumn id="4" name="ゲージわざ" dataDxfId="66"/>
    <tableColumn id="5" name="PL" dataDxfId="65"/>
    <tableColumn id="6" name="個体ATK" dataDxfId="64"/>
    <tableColumn id="7" name="個体DEF" dataDxfId="63"/>
    <tableColumn id="8" name="個体HP" dataDxfId="62"/>
    <tableColumn id="9" name="CP" dataDxfId="61"/>
    <tableColumn id="10" name="HP" dataDxfId="60"/>
    <tableColumn id="11" name="上限" dataDxfId="59"/>
    <tableColumn id="12" name="下限" dataDxfId="58"/>
    <tableColumn id="13" name="順位_b"/>
    <tableColumn id="14" name="ニックネーム_b" dataDxfId="57"/>
    <tableColumn id="15" name="通常わざ_bn" dataDxfId="56"/>
    <tableColumn id="16" name="stDPS_bn" dataDxfId="55"/>
    <tableColumn id="17" name="ゲージわざ_b" dataDxfId="54"/>
    <tableColumn id="18" name="stDPS_bs" dataDxfId="53"/>
    <tableColumn id="50" name="scDPS_b" dataDxfId="52"/>
    <tableColumn id="19" name="KT_b" dataDxfId="51"/>
    <tableColumn id="20" name="KTR_b" dataDxfId="50"/>
    <tableColumn id="21" name="天候_w"/>
    <tableColumn id="22" name="順位_w"/>
    <tableColumn id="23" name="ニックネーム_w"/>
    <tableColumn id="24" name="通常わざ_w"/>
    <tableColumn id="25" name="stDPS_wn" dataDxfId="49"/>
    <tableColumn id="26" name="ゲージわざ_w"/>
    <tableColumn id="27" name="stDPS_ws" dataDxfId="48"/>
    <tableColumn id="51" name="scDPS_w" dataDxfId="47"/>
    <tableColumn id="28" name="KT_w" dataDxfId="46"/>
    <tableColumn id="29" name="KTR_w" dataDxfId="45"/>
    <tableColumn id="30" name="ランク落ち_w"/>
    <tableColumn id="31" name="順位_pb"/>
    <tableColumn id="32" name="ニックネーム_pb"/>
    <tableColumn id="33" name="通常わざ_pb"/>
    <tableColumn id="34" name="stDPS_pbn" dataDxfId="44"/>
    <tableColumn id="35" name="ゲージわざ_pb"/>
    <tableColumn id="36" name="stDPS_pbs" dataDxfId="43"/>
    <tableColumn id="52" name="scDPS_pb" dataDxfId="42"/>
    <tableColumn id="37" name="KT_pb" dataDxfId="41"/>
    <tableColumn id="38" name="KTR_pb" dataDxfId="40"/>
    <tableColumn id="39" name="天候_pw"/>
    <tableColumn id="40" name="順位_pw"/>
    <tableColumn id="41" name="ニックネーム_pw"/>
    <tableColumn id="42" name="通常わざ_pw"/>
    <tableColumn id="43" name="stDPS_pwn" dataDxfId="39"/>
    <tableColumn id="44" name="ゲージわざ_pw"/>
    <tableColumn id="45" name="stDPS_pws" dataDxfId="38"/>
    <tableColumn id="53" name="scDPS_pw" dataDxfId="37"/>
    <tableColumn id="46" name="KT_pw" dataDxfId="36"/>
    <tableColumn id="47" name="KTR_pw" dataDxfId="35"/>
    <tableColumn id="48" name="ランク落ち_pw"/>
    <tableColumn id="49" name="計算時間"/>
  </tableColumns>
  <tableStyleInfo name="TableStyleMedium6" showFirstColumn="0" showLastColumn="0" showRowStripes="1" showColumnStripes="0"/>
</table>
</file>

<file path=xl/tables/table7.xml><?xml version="1.0" encoding="utf-8"?>
<table xmlns="http://schemas.openxmlformats.org/spreadsheetml/2006/main" id="9" name="対戦ランキング" displayName="対戦ランキング" ref="A2:BA3" totalsRowShown="0" headerRowDxfId="93">
  <tableColumns count="53">
    <tableColumn id="1" name="種族名" dataDxfId="34"/>
    <tableColumn id="2" name="備考" dataDxfId="33"/>
    <tableColumn id="3" name="通常わざ" dataDxfId="32"/>
    <tableColumn id="4" name="ゲージわざ" dataDxfId="31"/>
    <tableColumn id="5" name="PL" dataDxfId="30"/>
    <tableColumn id="6" name="個体ATK" dataDxfId="29"/>
    <tableColumn id="7" name="個体DEF" dataDxfId="28"/>
    <tableColumn id="8" name="個体HP" dataDxfId="27"/>
    <tableColumn id="9" name="CP" dataDxfId="26"/>
    <tableColumn id="10" name="HP" dataDxfId="25"/>
    <tableColumn id="11" name="上限" dataDxfId="24"/>
    <tableColumn id="12" name="下限" dataDxfId="23"/>
    <tableColumn id="13" name="順位_b"/>
    <tableColumn id="14" name="ニックネーム_b" dataDxfId="22"/>
    <tableColumn id="15" name="通常わざ_bn" dataDxfId="21"/>
    <tableColumn id="16" name="stDPT_bn" dataDxfId="20"/>
    <tableColumn id="17" name="ゲージわざ_b" dataDxfId="19"/>
    <tableColumn id="18" name="stDPT_bs" dataDxfId="18"/>
    <tableColumn id="50" name="scDPT_b" dataDxfId="17"/>
    <tableColumn id="19" name="KT_b" dataDxfId="16"/>
    <tableColumn id="20" name="KTR_b" dataDxfId="15"/>
    <tableColumn id="21" name="天候_w"/>
    <tableColumn id="22" name="順位_w"/>
    <tableColumn id="23" name="ニックネーム_w"/>
    <tableColumn id="24" name="通常わざ_w"/>
    <tableColumn id="25" name="stDPS_wn" dataDxfId="14"/>
    <tableColumn id="26" name="ゲージわざ_w"/>
    <tableColumn id="27" name="stDPS_ws" dataDxfId="13"/>
    <tableColumn id="51" name="scDPS_w" dataDxfId="12"/>
    <tableColumn id="28" name="KT_w" dataDxfId="11"/>
    <tableColumn id="29" name="KTR_w" dataDxfId="10"/>
    <tableColumn id="30" name="ランク落ち_w"/>
    <tableColumn id="31" name="順位_pb"/>
    <tableColumn id="32" name="ニックネーム_pb"/>
    <tableColumn id="33" name="通常わざ_pb"/>
    <tableColumn id="34" name="stDPT_pbn" dataDxfId="9"/>
    <tableColumn id="35" name="ゲージわざ_pb"/>
    <tableColumn id="36" name="stDPT_pbs" dataDxfId="8"/>
    <tableColumn id="52" name="scDPT_pb" dataDxfId="7"/>
    <tableColumn id="37" name="KT_pb" dataDxfId="6"/>
    <tableColumn id="38" name="KTR_pb" dataDxfId="5"/>
    <tableColumn id="39" name="天候_pw"/>
    <tableColumn id="40" name="順位_pw"/>
    <tableColumn id="41" name="ニックネーム_pw"/>
    <tableColumn id="42" name="通常わざ_pw"/>
    <tableColumn id="43" name="stDPS_pwn" dataDxfId="4"/>
    <tableColumn id="44" name="ゲージわざ_pw"/>
    <tableColumn id="45" name="stDPS_pws" dataDxfId="3"/>
    <tableColumn id="53" name="scDPS_pw" dataDxfId="2"/>
    <tableColumn id="46" name="KT_pw" dataDxfId="1"/>
    <tableColumn id="47" name="KTR_pw" dataDxfId="0"/>
    <tableColumn id="48" name="ランク落ち_pw"/>
    <tableColumn id="49" name="計算時間"/>
  </tableColumns>
  <tableStyleInfo name="TableStyleMedium6" showFirstColumn="0" showLastColumn="0" showRowStripes="1" showColumnStripes="0"/>
</table>
</file>

<file path=xl/tables/table8.xml><?xml version="1.0" encoding="utf-8"?>
<table xmlns="http://schemas.openxmlformats.org/spreadsheetml/2006/main" id="10" name="期待個体表1" displayName="期待個体表1" ref="I2:O3" insertRow="1" totalsRowShown="0" headerRowDxfId="92">
  <autoFilter ref="I2:O3"/>
  <sortState ref="I3:O5">
    <sortCondition descending="1" ref="K3:K5"/>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7" showFirstColumn="0" showLastColumn="0" showRowStripes="1" showColumnStripes="0"/>
</table>
</file>

<file path=xl/tables/table9.xml><?xml version="1.0" encoding="utf-8"?>
<table xmlns="http://schemas.openxmlformats.org/spreadsheetml/2006/main" id="11" name="期待個体表2" displayName="期待個体表2" ref="Y2:AE3" insertRow="1" totalsRowShown="0" headerRowDxfId="91">
  <autoFilter ref="Y2:AE3"/>
  <sortState ref="Y3:AE13">
    <sortCondition descending="1" ref="AA3:AA13"/>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7" showFirstColumn="0" showLastColumn="0" showRowStripes="1" showColumnStripes="0"/>
</table>
</file>

<file path=xl/tables/table10.xml><?xml version="1.0" encoding="utf-8"?>
<table xmlns="http://schemas.openxmlformats.org/spreadsheetml/2006/main" id="14" name="期待個体表115" displayName="期待個体表115" ref="A2:G3" insertRow="1" totalsRowShown="0" headerRowDxfId="90">
  <autoFilter ref="A2:G3"/>
  <sortState ref="A3:G50">
    <sortCondition descending="1" ref="C3:C50"/>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5" showFirstColumn="0" showLastColumn="0" showRowStripes="1" showColumnStripes="0"/>
</table>
</file>

<file path=xl/tables/table11.xml><?xml version="1.0" encoding="utf-8"?>
<table xmlns="http://schemas.openxmlformats.org/spreadsheetml/2006/main" id="15" name="期待個体表216" displayName="期待個体表216" ref="Q2:W3" insertRow="1" totalsRowShown="0" headerRowDxfId="89">
  <autoFilter ref="Q2:W3"/>
  <sortState ref="Q3:W35">
    <sortCondition descending="1" ref="S3:S35"/>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5" showFirstColumn="0" showLastColumn="0" showRowStripes="1" showColumnStripes="0"/>
</table>
</file>

<file path=xl/tables/table12.xml><?xml version="1.0" encoding="utf-8"?>
<table xmlns="http://schemas.openxmlformats.org/spreadsheetml/2006/main" id="6" name="CPM表" displayName="CPM表" ref="A1:E80" totalsRowShown="0" headerRowDxfId="88" dataDxfId="87" tableBorderDxfId="86" headerRowCellStyle="40% - アクセント 3">
  <sortState ref="A2:E80">
    <sortCondition descending="1" ref="A2:A80"/>
  </sortState>
  <tableColumns count="5">
    <tableColumn id="1" name="PL" dataDxfId="85"/>
    <tableColumn id="2" name="CPM" dataDxfId="84"/>
    <tableColumn id="4" name="ほしのすな" dataDxfId="83"/>
    <tableColumn id="5" name="アメ" dataDxfId="82"/>
    <tableColumn id="6" name="ΔCPM" dataDxfId="81">
      <calculatedColumnFormula>(CPM表[[#This Row],[CPM]]-B1)/B1</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13" name="ロケット団" displayName="ロケット団" ref="M1:O27" totalsRowShown="0" headerRowDxfId="80" dataDxfId="79">
  <tableColumns count="3">
    <tableColumn id="1" name="名称" dataDxfId="78"/>
    <tableColumn id="2" name="番目" dataDxfId="77"/>
    <tableColumn id="3" name="種族名" dataDxfId="76"/>
  </tableColumns>
  <tableStyleInfo name="TableStyleMedium2" showFirstColumn="0" showLastColumn="0" showRowStripes="1" showColumnStripes="0"/>
</table>
</file>

<file path=xl/tables/table14.xml><?xml version="1.0" encoding="utf-8"?>
<table xmlns="http://schemas.openxmlformats.org/spreadsheetml/2006/main" id="7" name="タイプ別表" displayName="タイプ別表" ref="A1:I107" totalsRowShown="0" headerRowDxfId="75">
  <autoFilter ref="A1:I107"/>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5.xml><?xml version="1.0" encoding="utf-8"?>
<table xmlns="http://schemas.openxmlformats.org/spreadsheetml/2006/main" id="12" name="Version" displayName="Version" ref="A1:D3" totalsRowShown="0" headerRowDxfId="74">
  <tableColumns count="4">
    <tableColumn id="5" name="ブランチ" dataDxfId="73"/>
    <tableColumn id="1" name="Ver." dataDxfId="72"/>
    <tableColumn id="2" name="日付" dataDxfId="71"/>
    <tableColumn id="3" name="記事" dataDxfId="70"/>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7.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9.emf"/><Relationship Id="rId18" Type="http://schemas.openxmlformats.org/officeDocument/2006/relationships/table" Target="../tables/table7.xml"/><Relationship Id="rId3" Type="http://schemas.openxmlformats.org/officeDocument/2006/relationships/vmlDrawing" Target="../drawings/vmlDrawing9.vml"/><Relationship Id="rId7" Type="http://schemas.openxmlformats.org/officeDocument/2006/relationships/image" Target="../media/image26.emf"/><Relationship Id="rId12" Type="http://schemas.openxmlformats.org/officeDocument/2006/relationships/control" Target="../activeX/activeX29.xml"/><Relationship Id="rId17"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control" Target="../activeX/activeX31.xml"/><Relationship Id="rId1" Type="http://schemas.openxmlformats.org/officeDocument/2006/relationships/printerSettings" Target="../printerSettings/printerSettings9.bin"/><Relationship Id="rId6" Type="http://schemas.openxmlformats.org/officeDocument/2006/relationships/control" Target="../activeX/activeX26.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27.emf"/><Relationship Id="rId14" Type="http://schemas.openxmlformats.org/officeDocument/2006/relationships/control" Target="../activeX/activeX30.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0.vml"/><Relationship Id="rId7" Type="http://schemas.openxmlformats.org/officeDocument/2006/relationships/image" Target="../media/image33.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33.xml"/><Relationship Id="rId11" Type="http://schemas.openxmlformats.org/officeDocument/2006/relationships/table" Target="../tables/table11.xml"/><Relationship Id="rId5" Type="http://schemas.openxmlformats.org/officeDocument/2006/relationships/image" Target="../media/image32.emf"/><Relationship Id="rId10" Type="http://schemas.openxmlformats.org/officeDocument/2006/relationships/table" Target="../tables/table10.xml"/><Relationship Id="rId4" Type="http://schemas.openxmlformats.org/officeDocument/2006/relationships/control" Target="../activeX/activeX32.xml"/><Relationship Id="rId9"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11.vml"/><Relationship Id="rId21" Type="http://schemas.openxmlformats.org/officeDocument/2006/relationships/image" Target="../media/image42.emf"/><Relationship Id="rId34" Type="http://schemas.openxmlformats.org/officeDocument/2006/relationships/control" Target="../activeX/activeX49.xml"/><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5" Type="http://schemas.openxmlformats.org/officeDocument/2006/relationships/image" Target="../media/image44.emf"/><Relationship Id="rId33" Type="http://schemas.openxmlformats.org/officeDocument/2006/relationships/image" Target="../media/image48.emf"/><Relationship Id="rId2" Type="http://schemas.openxmlformats.org/officeDocument/2006/relationships/drawing" Target="../drawings/drawing11.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image" Target="../media/image46.emf"/><Relationship Id="rId1" Type="http://schemas.openxmlformats.org/officeDocument/2006/relationships/printerSettings" Target="../printerSettings/printerSettings15.bin"/><Relationship Id="rId6" Type="http://schemas.openxmlformats.org/officeDocument/2006/relationships/control" Target="../activeX/activeX35.xml"/><Relationship Id="rId11" Type="http://schemas.openxmlformats.org/officeDocument/2006/relationships/image" Target="../media/image37.emf"/><Relationship Id="rId24" Type="http://schemas.openxmlformats.org/officeDocument/2006/relationships/control" Target="../activeX/activeX44.xml"/><Relationship Id="rId32" Type="http://schemas.openxmlformats.org/officeDocument/2006/relationships/control" Target="../activeX/activeX48.xml"/><Relationship Id="rId37" Type="http://schemas.openxmlformats.org/officeDocument/2006/relationships/image" Target="../media/image50.emf"/><Relationship Id="rId5" Type="http://schemas.openxmlformats.org/officeDocument/2006/relationships/image" Target="../media/image34.emf"/><Relationship Id="rId15" Type="http://schemas.openxmlformats.org/officeDocument/2006/relationships/image" Target="../media/image39.emf"/><Relationship Id="rId23" Type="http://schemas.openxmlformats.org/officeDocument/2006/relationships/image" Target="../media/image43.emf"/><Relationship Id="rId28" Type="http://schemas.openxmlformats.org/officeDocument/2006/relationships/control" Target="../activeX/activeX46.xml"/><Relationship Id="rId36" Type="http://schemas.openxmlformats.org/officeDocument/2006/relationships/control" Target="../activeX/activeX50.xml"/><Relationship Id="rId10" Type="http://schemas.openxmlformats.org/officeDocument/2006/relationships/control" Target="../activeX/activeX37.xml"/><Relationship Id="rId19" Type="http://schemas.openxmlformats.org/officeDocument/2006/relationships/image" Target="../media/image41.emf"/><Relationship Id="rId31" Type="http://schemas.openxmlformats.org/officeDocument/2006/relationships/image" Target="../media/image47.emf"/><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5.emf"/><Relationship Id="rId30" Type="http://schemas.openxmlformats.org/officeDocument/2006/relationships/control" Target="../activeX/activeX47.xml"/><Relationship Id="rId35" Type="http://schemas.openxmlformats.org/officeDocument/2006/relationships/image" Target="../media/image49.emf"/></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51.emf"/><Relationship Id="rId4" Type="http://schemas.openxmlformats.org/officeDocument/2006/relationships/control" Target="../activeX/activeX5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3.vml"/><Relationship Id="rId7" Type="http://schemas.openxmlformats.org/officeDocument/2006/relationships/image" Target="../media/image53.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53.xml"/><Relationship Id="rId5" Type="http://schemas.openxmlformats.org/officeDocument/2006/relationships/image" Target="../media/image52.emf"/><Relationship Id="rId10" Type="http://schemas.openxmlformats.org/officeDocument/2006/relationships/table" Target="../tables/table15.xml"/><Relationship Id="rId4" Type="http://schemas.openxmlformats.org/officeDocument/2006/relationships/control" Target="../activeX/activeX52.xml"/><Relationship Id="rId9" Type="http://schemas.openxmlformats.org/officeDocument/2006/relationships/image" Target="../media/image5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20"/>
  <sheetViews>
    <sheetView zoomScaleNormal="10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3" customWidth="1"/>
    <col min="2" max="2" width="19.88671875" style="23" customWidth="1"/>
    <col min="3" max="4" width="7.88671875" style="24" customWidth="1"/>
    <col min="5" max="5" width="5.33203125" style="23" customWidth="1"/>
    <col min="6" max="6" width="5" style="23" customWidth="1"/>
    <col min="7" max="7" width="5.33203125" style="23" customWidth="1"/>
    <col min="8" max="8" width="5.21875" style="23" customWidth="1"/>
    <col min="9" max="13" width="5" style="23" customWidth="1"/>
    <col min="14" max="16" width="22.33203125" style="24" customWidth="1"/>
    <col min="17" max="17" width="22.33203125" style="23" customWidth="1"/>
    <col min="18" max="16384" width="8.88671875" style="23"/>
  </cols>
  <sheetData>
    <row r="1" spans="1:17" s="43" customFormat="1" ht="35.25" customHeight="1" x14ac:dyDescent="0.4">
      <c r="A1" s="44" t="s">
        <v>1479</v>
      </c>
      <c r="B1" s="44" t="s">
        <v>1551</v>
      </c>
      <c r="C1" s="44" t="s">
        <v>1743</v>
      </c>
      <c r="D1" s="44" t="s">
        <v>1744</v>
      </c>
      <c r="E1" s="44" t="s">
        <v>1478</v>
      </c>
      <c r="F1" s="44" t="s">
        <v>1477</v>
      </c>
      <c r="G1" s="44" t="s">
        <v>1476</v>
      </c>
      <c r="H1" s="44" t="s">
        <v>1475</v>
      </c>
      <c r="I1" s="44" t="s">
        <v>1745</v>
      </c>
      <c r="J1" s="44" t="s">
        <v>1474</v>
      </c>
      <c r="K1" s="44" t="s">
        <v>1473</v>
      </c>
      <c r="L1" s="44" t="s">
        <v>1472</v>
      </c>
      <c r="M1" s="45" t="s">
        <v>1471</v>
      </c>
      <c r="N1" s="44" t="s">
        <v>3758</v>
      </c>
      <c r="O1" s="44" t="s">
        <v>3144</v>
      </c>
      <c r="P1" s="44" t="s">
        <v>1746</v>
      </c>
      <c r="Q1" s="44" t="s">
        <v>3145</v>
      </c>
    </row>
    <row r="2" spans="1:17" x14ac:dyDescent="0.45">
      <c r="A2" s="23">
        <v>1</v>
      </c>
      <c r="B2" s="23" t="s">
        <v>1470</v>
      </c>
      <c r="C2" s="37" t="s">
        <v>32</v>
      </c>
      <c r="D2" s="36" t="s">
        <v>12</v>
      </c>
      <c r="E2" s="23">
        <v>1115</v>
      </c>
      <c r="F2" s="23">
        <v>128</v>
      </c>
      <c r="G2" s="23">
        <v>118</v>
      </c>
      <c r="H2" s="23">
        <v>111</v>
      </c>
      <c r="I2" s="23" t="s">
        <v>337</v>
      </c>
      <c r="J2" s="23" t="s">
        <v>337</v>
      </c>
      <c r="K2" s="23" t="s">
        <v>337</v>
      </c>
      <c r="M2" s="23">
        <v>3</v>
      </c>
      <c r="N2" s="31" t="s">
        <v>464</v>
      </c>
      <c r="O2" s="31"/>
      <c r="P2" s="36" t="s">
        <v>3196</v>
      </c>
      <c r="Q2" s="31" t="s">
        <v>3338</v>
      </c>
    </row>
    <row r="3" spans="1:17" x14ac:dyDescent="0.45">
      <c r="A3" s="23">
        <v>2</v>
      </c>
      <c r="B3" s="23" t="s">
        <v>1469</v>
      </c>
      <c r="C3" s="37" t="s">
        <v>32</v>
      </c>
      <c r="D3" s="36" t="s">
        <v>12</v>
      </c>
      <c r="E3" s="23">
        <v>1699</v>
      </c>
      <c r="F3" s="23">
        <v>155</v>
      </c>
      <c r="G3" s="23">
        <v>151</v>
      </c>
      <c r="H3" s="23">
        <v>143</v>
      </c>
      <c r="I3" s="23" t="s">
        <v>337</v>
      </c>
      <c r="J3" s="23" t="s">
        <v>337</v>
      </c>
      <c r="K3" s="23" t="s">
        <v>337</v>
      </c>
      <c r="M3" s="23">
        <v>3</v>
      </c>
      <c r="N3" s="36" t="s">
        <v>1195</v>
      </c>
      <c r="O3" s="36"/>
      <c r="P3" s="36" t="s">
        <v>3197</v>
      </c>
      <c r="Q3" s="31" t="s">
        <v>3338</v>
      </c>
    </row>
    <row r="4" spans="1:17" x14ac:dyDescent="0.45">
      <c r="A4" s="23">
        <v>3</v>
      </c>
      <c r="B4" s="23" t="s">
        <v>1468</v>
      </c>
      <c r="C4" s="37" t="s">
        <v>32</v>
      </c>
      <c r="D4" s="36" t="s">
        <v>12</v>
      </c>
      <c r="E4" s="23">
        <v>2720</v>
      </c>
      <c r="F4" s="23">
        <v>190</v>
      </c>
      <c r="G4" s="23">
        <v>198</v>
      </c>
      <c r="H4" s="23">
        <v>189</v>
      </c>
      <c r="I4" s="23" t="s">
        <v>337</v>
      </c>
      <c r="J4" s="23" t="s">
        <v>337</v>
      </c>
      <c r="K4" s="23" t="s">
        <v>337</v>
      </c>
      <c r="M4" s="23">
        <v>3</v>
      </c>
      <c r="N4" s="36" t="s">
        <v>1195</v>
      </c>
      <c r="O4" s="36"/>
      <c r="P4" s="36" t="s">
        <v>1121</v>
      </c>
      <c r="Q4" s="31" t="s">
        <v>3339</v>
      </c>
    </row>
    <row r="5" spans="1:17" x14ac:dyDescent="0.45">
      <c r="A5" s="23">
        <v>4</v>
      </c>
      <c r="B5" s="23" t="s">
        <v>1467</v>
      </c>
      <c r="C5" s="33" t="s">
        <v>22</v>
      </c>
      <c r="E5" s="23">
        <v>980</v>
      </c>
      <c r="F5" s="23">
        <v>118</v>
      </c>
      <c r="G5" s="23">
        <v>116</v>
      </c>
      <c r="H5" s="23">
        <v>93</v>
      </c>
      <c r="I5" s="23" t="s">
        <v>337</v>
      </c>
      <c r="J5" s="23" t="s">
        <v>337</v>
      </c>
      <c r="K5" s="23" t="s">
        <v>337</v>
      </c>
      <c r="M5" s="23">
        <v>3</v>
      </c>
      <c r="N5" s="31" t="s">
        <v>705</v>
      </c>
      <c r="O5" s="31"/>
      <c r="P5" s="33" t="s">
        <v>3198</v>
      </c>
      <c r="Q5" s="31" t="s">
        <v>3338</v>
      </c>
    </row>
    <row r="6" spans="1:17" x14ac:dyDescent="0.45">
      <c r="A6" s="23">
        <v>5</v>
      </c>
      <c r="B6" s="23" t="s">
        <v>1466</v>
      </c>
      <c r="C6" s="33" t="s">
        <v>22</v>
      </c>
      <c r="E6" s="23">
        <v>1653</v>
      </c>
      <c r="F6" s="23">
        <v>151</v>
      </c>
      <c r="G6" s="23">
        <v>158</v>
      </c>
      <c r="H6" s="23">
        <v>126</v>
      </c>
      <c r="I6" s="23" t="s">
        <v>337</v>
      </c>
      <c r="J6" s="23" t="s">
        <v>337</v>
      </c>
      <c r="K6" s="23" t="s">
        <v>337</v>
      </c>
      <c r="M6" s="23">
        <v>3</v>
      </c>
      <c r="N6" s="33" t="s">
        <v>1465</v>
      </c>
      <c r="O6" s="31" t="s">
        <v>1489</v>
      </c>
      <c r="P6" s="33" t="s">
        <v>3199</v>
      </c>
      <c r="Q6" s="31" t="s">
        <v>3338</v>
      </c>
    </row>
    <row r="7" spans="1:17" x14ac:dyDescent="0.45">
      <c r="A7" s="23">
        <v>6</v>
      </c>
      <c r="B7" s="23" t="s">
        <v>228</v>
      </c>
      <c r="C7" s="38" t="s">
        <v>72</v>
      </c>
      <c r="D7" s="33" t="s">
        <v>22</v>
      </c>
      <c r="E7" s="23">
        <v>2889</v>
      </c>
      <c r="F7" s="23">
        <v>186</v>
      </c>
      <c r="G7" s="23">
        <v>223</v>
      </c>
      <c r="H7" s="23">
        <v>173</v>
      </c>
      <c r="I7" s="23" t="s">
        <v>337</v>
      </c>
      <c r="J7" s="23" t="s">
        <v>337</v>
      </c>
      <c r="K7" s="23" t="s">
        <v>337</v>
      </c>
      <c r="M7" s="23">
        <v>3</v>
      </c>
      <c r="N7" s="38" t="s">
        <v>1464</v>
      </c>
      <c r="O7" s="38" t="s">
        <v>3335</v>
      </c>
      <c r="P7" s="33" t="s">
        <v>3200</v>
      </c>
      <c r="Q7" s="31" t="s">
        <v>3340</v>
      </c>
    </row>
    <row r="8" spans="1:17" x14ac:dyDescent="0.45">
      <c r="A8" s="23">
        <v>7</v>
      </c>
      <c r="B8" s="23" t="s">
        <v>1463</v>
      </c>
      <c r="C8" s="39" t="s">
        <v>111</v>
      </c>
      <c r="E8" s="23">
        <v>946</v>
      </c>
      <c r="F8" s="23">
        <v>127</v>
      </c>
      <c r="G8" s="23">
        <v>94</v>
      </c>
      <c r="H8" s="23">
        <v>121</v>
      </c>
      <c r="I8" s="23" t="s">
        <v>337</v>
      </c>
      <c r="J8" s="23" t="s">
        <v>337</v>
      </c>
      <c r="K8" s="23" t="s">
        <v>337</v>
      </c>
      <c r="M8" s="23">
        <v>3</v>
      </c>
      <c r="N8" s="39" t="s">
        <v>529</v>
      </c>
      <c r="O8" s="39"/>
      <c r="P8" s="39" t="s">
        <v>3201</v>
      </c>
      <c r="Q8" s="31" t="s">
        <v>3338</v>
      </c>
    </row>
    <row r="9" spans="1:17" x14ac:dyDescent="0.45">
      <c r="A9" s="23">
        <v>8</v>
      </c>
      <c r="B9" s="23" t="s">
        <v>1462</v>
      </c>
      <c r="C9" s="39" t="s">
        <v>111</v>
      </c>
      <c r="E9" s="23">
        <v>1488</v>
      </c>
      <c r="F9" s="23">
        <v>153</v>
      </c>
      <c r="G9" s="23">
        <v>126</v>
      </c>
      <c r="H9" s="23">
        <v>155</v>
      </c>
      <c r="I9" s="23" t="s">
        <v>337</v>
      </c>
      <c r="J9" s="23" t="s">
        <v>337</v>
      </c>
      <c r="K9" s="23" t="s">
        <v>337</v>
      </c>
      <c r="M9" s="23">
        <v>3</v>
      </c>
      <c r="N9" s="29" t="s">
        <v>409</v>
      </c>
      <c r="O9" s="29"/>
      <c r="P9" s="39" t="s">
        <v>3202</v>
      </c>
      <c r="Q9" s="31" t="s">
        <v>3338</v>
      </c>
    </row>
    <row r="10" spans="1:17" x14ac:dyDescent="0.45">
      <c r="A10" s="23">
        <v>9</v>
      </c>
      <c r="B10" s="23" t="s">
        <v>235</v>
      </c>
      <c r="C10" s="39" t="s">
        <v>111</v>
      </c>
      <c r="E10" s="23">
        <v>2466</v>
      </c>
      <c r="F10" s="23">
        <v>188</v>
      </c>
      <c r="G10" s="23">
        <v>171</v>
      </c>
      <c r="H10" s="23">
        <v>207</v>
      </c>
      <c r="I10" s="23" t="s">
        <v>337</v>
      </c>
      <c r="J10" s="23" t="s">
        <v>337</v>
      </c>
      <c r="K10" s="23" t="s">
        <v>337</v>
      </c>
      <c r="M10" s="23">
        <v>3</v>
      </c>
      <c r="N10" s="29" t="s">
        <v>409</v>
      </c>
      <c r="O10" s="29"/>
      <c r="P10" s="39" t="s">
        <v>3203</v>
      </c>
      <c r="Q10" s="31" t="s">
        <v>3341</v>
      </c>
    </row>
    <row r="11" spans="1:17" x14ac:dyDescent="0.45">
      <c r="A11" s="23">
        <v>10</v>
      </c>
      <c r="B11" s="23" t="s">
        <v>1461</v>
      </c>
      <c r="C11" s="32" t="s">
        <v>29</v>
      </c>
      <c r="E11" s="23">
        <v>437</v>
      </c>
      <c r="F11" s="23">
        <v>128</v>
      </c>
      <c r="G11" s="23">
        <v>55</v>
      </c>
      <c r="H11" s="23">
        <v>55</v>
      </c>
      <c r="I11" s="23" t="s">
        <v>337</v>
      </c>
      <c r="K11" s="23" t="s">
        <v>337</v>
      </c>
      <c r="M11" s="23">
        <v>1</v>
      </c>
      <c r="N11" s="31" t="s">
        <v>646</v>
      </c>
      <c r="O11" s="31"/>
      <c r="P11" s="31" t="s">
        <v>645</v>
      </c>
    </row>
    <row r="12" spans="1:17" x14ac:dyDescent="0.45">
      <c r="A12" s="23">
        <v>11</v>
      </c>
      <c r="B12" s="23" t="s">
        <v>1460</v>
      </c>
      <c r="C12" s="32" t="s">
        <v>29</v>
      </c>
      <c r="E12" s="23">
        <v>450</v>
      </c>
      <c r="F12" s="23">
        <v>137</v>
      </c>
      <c r="G12" s="23">
        <v>45</v>
      </c>
      <c r="H12" s="23">
        <v>80</v>
      </c>
      <c r="I12" s="23" t="s">
        <v>337</v>
      </c>
      <c r="K12" s="23" t="s">
        <v>337</v>
      </c>
      <c r="M12" s="23">
        <v>1</v>
      </c>
      <c r="N12" s="31" t="s">
        <v>646</v>
      </c>
      <c r="O12" s="31"/>
      <c r="P12" s="31" t="s">
        <v>645</v>
      </c>
    </row>
    <row r="13" spans="1:17" x14ac:dyDescent="0.45">
      <c r="A13" s="23">
        <v>12</v>
      </c>
      <c r="B13" s="23" t="s">
        <v>1459</v>
      </c>
      <c r="C13" s="38" t="s">
        <v>72</v>
      </c>
      <c r="D13" s="32" t="s">
        <v>29</v>
      </c>
      <c r="E13" s="23">
        <v>1827</v>
      </c>
      <c r="F13" s="23">
        <v>155</v>
      </c>
      <c r="G13" s="23">
        <v>167</v>
      </c>
      <c r="H13" s="23">
        <v>137</v>
      </c>
      <c r="I13" s="23" t="s">
        <v>337</v>
      </c>
      <c r="K13" s="23" t="s">
        <v>337</v>
      </c>
      <c r="M13" s="23">
        <v>1</v>
      </c>
      <c r="N13" s="27" t="s">
        <v>977</v>
      </c>
      <c r="O13" s="32" t="s">
        <v>38</v>
      </c>
      <c r="P13" s="27" t="s">
        <v>1458</v>
      </c>
    </row>
    <row r="14" spans="1:17" x14ac:dyDescent="0.45">
      <c r="A14" s="23">
        <v>13</v>
      </c>
      <c r="B14" s="23" t="s">
        <v>1457</v>
      </c>
      <c r="C14" s="37" t="s">
        <v>32</v>
      </c>
      <c r="D14" s="32" t="s">
        <v>29</v>
      </c>
      <c r="E14" s="23">
        <v>456</v>
      </c>
      <c r="F14" s="23">
        <v>120</v>
      </c>
      <c r="G14" s="23">
        <v>63</v>
      </c>
      <c r="H14" s="23">
        <v>50</v>
      </c>
      <c r="K14" s="23" t="s">
        <v>337</v>
      </c>
      <c r="M14" s="23">
        <v>1</v>
      </c>
      <c r="N14" s="37" t="s">
        <v>632</v>
      </c>
      <c r="O14" s="37"/>
      <c r="P14" s="31" t="s">
        <v>645</v>
      </c>
      <c r="Q14" s="31" t="s">
        <v>3338</v>
      </c>
    </row>
    <row r="15" spans="1:17" x14ac:dyDescent="0.45">
      <c r="A15" s="23">
        <v>14</v>
      </c>
      <c r="B15" s="23" t="s">
        <v>1456</v>
      </c>
      <c r="C15" s="37" t="s">
        <v>32</v>
      </c>
      <c r="D15" s="32" t="s">
        <v>29</v>
      </c>
      <c r="E15" s="23">
        <v>432</v>
      </c>
      <c r="F15" s="23">
        <v>128</v>
      </c>
      <c r="G15" s="23">
        <v>46</v>
      </c>
      <c r="H15" s="23">
        <v>75</v>
      </c>
      <c r="K15" s="23" t="s">
        <v>337</v>
      </c>
      <c r="M15" s="23">
        <v>1</v>
      </c>
      <c r="N15" s="37" t="s">
        <v>632</v>
      </c>
      <c r="O15" s="37"/>
      <c r="P15" s="31" t="s">
        <v>645</v>
      </c>
      <c r="Q15" s="31" t="s">
        <v>3338</v>
      </c>
    </row>
    <row r="16" spans="1:17" x14ac:dyDescent="0.45">
      <c r="A16" s="23">
        <v>15</v>
      </c>
      <c r="B16" s="23" t="s">
        <v>166</v>
      </c>
      <c r="C16" s="37" t="s">
        <v>32</v>
      </c>
      <c r="D16" s="32" t="s">
        <v>29</v>
      </c>
      <c r="E16" s="23">
        <v>1846</v>
      </c>
      <c r="F16" s="23">
        <v>163</v>
      </c>
      <c r="G16" s="23">
        <v>169</v>
      </c>
      <c r="H16" s="23">
        <v>130</v>
      </c>
      <c r="K16" s="23" t="s">
        <v>337</v>
      </c>
      <c r="M16" s="23">
        <v>1</v>
      </c>
      <c r="N16" s="37" t="s">
        <v>1305</v>
      </c>
      <c r="O16" s="32" t="s">
        <v>38</v>
      </c>
      <c r="P16" s="32" t="s">
        <v>2606</v>
      </c>
      <c r="Q16" s="31" t="s">
        <v>3338</v>
      </c>
    </row>
    <row r="17" spans="1:17" x14ac:dyDescent="0.45">
      <c r="A17" s="23">
        <v>16</v>
      </c>
      <c r="B17" s="23" t="s">
        <v>1455</v>
      </c>
      <c r="C17" s="31" t="s">
        <v>68</v>
      </c>
      <c r="D17" s="38" t="s">
        <v>72</v>
      </c>
      <c r="E17" s="23">
        <v>680</v>
      </c>
      <c r="F17" s="23">
        <v>120</v>
      </c>
      <c r="G17" s="23">
        <v>85</v>
      </c>
      <c r="H17" s="23">
        <v>73</v>
      </c>
      <c r="I17" s="23" t="s">
        <v>337</v>
      </c>
      <c r="K17" s="23" t="s">
        <v>337</v>
      </c>
      <c r="M17" s="23">
        <v>1</v>
      </c>
      <c r="N17" s="31" t="s">
        <v>689</v>
      </c>
      <c r="O17" s="31"/>
      <c r="P17" s="38" t="s">
        <v>1453</v>
      </c>
    </row>
    <row r="18" spans="1:17" x14ac:dyDescent="0.45">
      <c r="A18" s="23">
        <v>17</v>
      </c>
      <c r="B18" s="23" t="s">
        <v>1454</v>
      </c>
      <c r="C18" s="31" t="s">
        <v>68</v>
      </c>
      <c r="D18" s="38" t="s">
        <v>72</v>
      </c>
      <c r="E18" s="23">
        <v>1194</v>
      </c>
      <c r="F18" s="23">
        <v>160</v>
      </c>
      <c r="G18" s="23">
        <v>117</v>
      </c>
      <c r="H18" s="23">
        <v>105</v>
      </c>
      <c r="I18" s="23" t="s">
        <v>337</v>
      </c>
      <c r="K18" s="23" t="s">
        <v>337</v>
      </c>
      <c r="M18" s="23">
        <v>1</v>
      </c>
      <c r="N18" s="38" t="s">
        <v>960</v>
      </c>
      <c r="O18" s="38"/>
      <c r="P18" s="38" t="s">
        <v>1453</v>
      </c>
    </row>
    <row r="19" spans="1:17" x14ac:dyDescent="0.45">
      <c r="A19" s="23">
        <v>18</v>
      </c>
      <c r="B19" s="23" t="s">
        <v>1452</v>
      </c>
      <c r="C19" s="31" t="s">
        <v>68</v>
      </c>
      <c r="D19" s="38" t="s">
        <v>72</v>
      </c>
      <c r="E19" s="23">
        <v>2129</v>
      </c>
      <c r="F19" s="23">
        <v>195</v>
      </c>
      <c r="G19" s="23">
        <v>166</v>
      </c>
      <c r="H19" s="23">
        <v>154</v>
      </c>
      <c r="I19" s="23" t="s">
        <v>337</v>
      </c>
      <c r="K19" s="23" t="s">
        <v>337</v>
      </c>
      <c r="M19" s="23">
        <v>1</v>
      </c>
      <c r="N19" s="38" t="s">
        <v>402</v>
      </c>
      <c r="O19" s="38" t="s">
        <v>1505</v>
      </c>
      <c r="P19" s="38" t="s">
        <v>1451</v>
      </c>
      <c r="Q19" s="38" t="s">
        <v>210</v>
      </c>
    </row>
    <row r="20" spans="1:17" x14ac:dyDescent="0.45">
      <c r="A20" s="23">
        <v>19</v>
      </c>
      <c r="B20" s="23" t="s">
        <v>1448</v>
      </c>
      <c r="C20" s="31" t="s">
        <v>68</v>
      </c>
      <c r="D20" s="29"/>
      <c r="E20" s="23">
        <v>734</v>
      </c>
      <c r="F20" s="23">
        <v>102</v>
      </c>
      <c r="G20" s="23">
        <v>103</v>
      </c>
      <c r="H20" s="23">
        <v>70</v>
      </c>
      <c r="I20" s="23" t="s">
        <v>337</v>
      </c>
      <c r="J20" s="23" t="s">
        <v>337</v>
      </c>
      <c r="K20" s="23" t="s">
        <v>337</v>
      </c>
      <c r="M20" s="23">
        <v>1</v>
      </c>
      <c r="N20" s="31" t="s">
        <v>689</v>
      </c>
      <c r="O20" s="31"/>
      <c r="P20" s="35" t="s">
        <v>3204</v>
      </c>
      <c r="Q20" s="31" t="s">
        <v>3338</v>
      </c>
    </row>
    <row r="21" spans="1:17" x14ac:dyDescent="0.45">
      <c r="A21" s="23">
        <v>19</v>
      </c>
      <c r="B21" s="23" t="s">
        <v>1450</v>
      </c>
      <c r="C21" s="31" t="s">
        <v>68</v>
      </c>
      <c r="D21" s="29" t="s">
        <v>78</v>
      </c>
      <c r="E21" s="23">
        <v>734</v>
      </c>
      <c r="F21" s="23">
        <v>102</v>
      </c>
      <c r="G21" s="23">
        <v>103</v>
      </c>
      <c r="H21" s="23">
        <v>70</v>
      </c>
      <c r="I21" s="23" t="s">
        <v>337</v>
      </c>
      <c r="K21" s="23" t="s">
        <v>337</v>
      </c>
      <c r="M21" s="23">
        <v>1</v>
      </c>
      <c r="N21" s="31" t="s">
        <v>689</v>
      </c>
      <c r="O21" s="31"/>
      <c r="P21" s="29" t="s">
        <v>1449</v>
      </c>
    </row>
    <row r="22" spans="1:17" x14ac:dyDescent="0.45">
      <c r="A22" s="23">
        <v>20</v>
      </c>
      <c r="B22" s="23" t="s">
        <v>1447</v>
      </c>
      <c r="C22" s="31" t="s">
        <v>68</v>
      </c>
      <c r="D22" s="29"/>
      <c r="E22" s="23">
        <v>1730</v>
      </c>
      <c r="F22" s="23">
        <v>146</v>
      </c>
      <c r="G22" s="23">
        <v>161</v>
      </c>
      <c r="H22" s="23">
        <v>139</v>
      </c>
      <c r="I22" s="23" t="s">
        <v>337</v>
      </c>
      <c r="J22" s="23" t="s">
        <v>337</v>
      </c>
      <c r="K22" s="23" t="s">
        <v>337</v>
      </c>
      <c r="M22" s="23">
        <v>1</v>
      </c>
      <c r="N22" s="29" t="s">
        <v>1389</v>
      </c>
      <c r="O22" s="29"/>
      <c r="P22" s="35" t="s">
        <v>3205</v>
      </c>
      <c r="Q22" s="31" t="s">
        <v>3338</v>
      </c>
    </row>
    <row r="23" spans="1:17" x14ac:dyDescent="0.45">
      <c r="A23" s="23">
        <v>20</v>
      </c>
      <c r="B23" s="23" t="s">
        <v>1446</v>
      </c>
      <c r="C23" s="31" t="s">
        <v>68</v>
      </c>
      <c r="D23" s="29" t="s">
        <v>78</v>
      </c>
      <c r="E23" s="23">
        <v>1705</v>
      </c>
      <c r="F23" s="23">
        <v>181</v>
      </c>
      <c r="G23" s="23">
        <v>135</v>
      </c>
      <c r="H23" s="23">
        <v>154</v>
      </c>
      <c r="I23" s="23" t="s">
        <v>337</v>
      </c>
      <c r="K23" s="23" t="s">
        <v>337</v>
      </c>
      <c r="M23" s="23">
        <v>1</v>
      </c>
      <c r="N23" s="29" t="s">
        <v>1389</v>
      </c>
      <c r="O23" s="29"/>
      <c r="P23" s="29" t="s">
        <v>1445</v>
      </c>
    </row>
    <row r="24" spans="1:17" x14ac:dyDescent="0.45">
      <c r="A24" s="23">
        <v>21</v>
      </c>
      <c r="B24" s="23" t="s">
        <v>1444</v>
      </c>
      <c r="C24" s="31" t="s">
        <v>68</v>
      </c>
      <c r="D24" s="38" t="s">
        <v>72</v>
      </c>
      <c r="E24" s="23">
        <v>798</v>
      </c>
      <c r="F24" s="23">
        <v>120</v>
      </c>
      <c r="G24" s="23">
        <v>112</v>
      </c>
      <c r="H24" s="23">
        <v>60</v>
      </c>
      <c r="K24" s="23" t="s">
        <v>337</v>
      </c>
      <c r="M24" s="23">
        <v>1</v>
      </c>
      <c r="N24" s="38" t="s">
        <v>962</v>
      </c>
      <c r="O24" s="38"/>
      <c r="P24" s="38" t="s">
        <v>1443</v>
      </c>
      <c r="Q24" s="30" t="s">
        <v>1514</v>
      </c>
    </row>
    <row r="25" spans="1:17" x14ac:dyDescent="0.45">
      <c r="A25" s="23">
        <v>22</v>
      </c>
      <c r="B25" s="23" t="s">
        <v>1442</v>
      </c>
      <c r="C25" s="31" t="s">
        <v>68</v>
      </c>
      <c r="D25" s="38" t="s">
        <v>72</v>
      </c>
      <c r="E25" s="23">
        <v>1997</v>
      </c>
      <c r="F25" s="23">
        <v>163</v>
      </c>
      <c r="G25" s="23">
        <v>182</v>
      </c>
      <c r="H25" s="23">
        <v>133</v>
      </c>
      <c r="K25" s="23" t="s">
        <v>337</v>
      </c>
      <c r="M25" s="23">
        <v>1</v>
      </c>
      <c r="N25" s="38" t="s">
        <v>571</v>
      </c>
      <c r="O25" s="38"/>
      <c r="P25" s="38" t="s">
        <v>1441</v>
      </c>
      <c r="Q25" s="30" t="s">
        <v>1514</v>
      </c>
    </row>
    <row r="26" spans="1:17" x14ac:dyDescent="0.45">
      <c r="A26" s="23">
        <v>23</v>
      </c>
      <c r="B26" s="23" t="s">
        <v>1440</v>
      </c>
      <c r="C26" s="37" t="s">
        <v>32</v>
      </c>
      <c r="E26" s="23">
        <v>927</v>
      </c>
      <c r="F26" s="23">
        <v>111</v>
      </c>
      <c r="G26" s="23">
        <v>110</v>
      </c>
      <c r="H26" s="23">
        <v>97</v>
      </c>
      <c r="I26" s="23" t="s">
        <v>337</v>
      </c>
      <c r="K26" s="23" t="s">
        <v>337</v>
      </c>
      <c r="M26" s="23">
        <v>3</v>
      </c>
      <c r="N26" s="37" t="s">
        <v>1439</v>
      </c>
      <c r="O26" s="37"/>
      <c r="P26" s="37" t="s">
        <v>1438</v>
      </c>
      <c r="Q26" s="37" t="s">
        <v>251</v>
      </c>
    </row>
    <row r="27" spans="1:17" x14ac:dyDescent="0.45">
      <c r="A27" s="23">
        <v>24</v>
      </c>
      <c r="B27" s="23" t="s">
        <v>193</v>
      </c>
      <c r="C27" s="37" t="s">
        <v>32</v>
      </c>
      <c r="E27" s="23">
        <v>1921</v>
      </c>
      <c r="F27" s="23">
        <v>155</v>
      </c>
      <c r="G27" s="23">
        <v>167</v>
      </c>
      <c r="H27" s="23">
        <v>153</v>
      </c>
      <c r="I27" s="23" t="s">
        <v>337</v>
      </c>
      <c r="K27" s="23" t="s">
        <v>337</v>
      </c>
      <c r="M27" s="23">
        <v>3</v>
      </c>
      <c r="N27" s="29" t="s">
        <v>1437</v>
      </c>
      <c r="O27" s="29"/>
      <c r="P27" s="29" t="s">
        <v>1303</v>
      </c>
    </row>
    <row r="28" spans="1:17" x14ac:dyDescent="0.45">
      <c r="A28" s="23">
        <v>25</v>
      </c>
      <c r="B28" s="23" t="s">
        <v>1436</v>
      </c>
      <c r="C28" s="25" t="s">
        <v>8</v>
      </c>
      <c r="E28" s="23">
        <v>938</v>
      </c>
      <c r="F28" s="23">
        <v>111</v>
      </c>
      <c r="G28" s="23">
        <v>112</v>
      </c>
      <c r="H28" s="23">
        <v>96</v>
      </c>
      <c r="I28" s="23" t="s">
        <v>337</v>
      </c>
      <c r="K28" s="23" t="s">
        <v>337</v>
      </c>
      <c r="M28" s="23">
        <v>1</v>
      </c>
      <c r="N28" s="25" t="s">
        <v>1435</v>
      </c>
      <c r="O28" s="31" t="s">
        <v>1057</v>
      </c>
      <c r="P28" s="25" t="s">
        <v>1434</v>
      </c>
      <c r="Q28" s="25" t="s">
        <v>3342</v>
      </c>
    </row>
    <row r="29" spans="1:17" x14ac:dyDescent="0.45">
      <c r="A29" s="23">
        <v>26</v>
      </c>
      <c r="B29" s="23" t="s">
        <v>7</v>
      </c>
      <c r="C29" s="25" t="s">
        <v>8</v>
      </c>
      <c r="E29" s="23">
        <v>2182</v>
      </c>
      <c r="F29" s="23">
        <v>155</v>
      </c>
      <c r="G29" s="23">
        <v>193</v>
      </c>
      <c r="H29" s="23">
        <v>151</v>
      </c>
      <c r="I29" s="23" t="s">
        <v>337</v>
      </c>
      <c r="K29" s="23" t="s">
        <v>337</v>
      </c>
      <c r="M29" s="23">
        <v>1</v>
      </c>
      <c r="N29" s="40" t="s">
        <v>1430</v>
      </c>
      <c r="O29" s="25" t="s">
        <v>115</v>
      </c>
      <c r="P29" s="25" t="s">
        <v>1429</v>
      </c>
      <c r="Q29" s="25" t="s">
        <v>222</v>
      </c>
    </row>
    <row r="30" spans="1:17" x14ac:dyDescent="0.45">
      <c r="A30" s="23">
        <v>26</v>
      </c>
      <c r="B30" s="23" t="s">
        <v>1433</v>
      </c>
      <c r="C30" s="25" t="s">
        <v>8</v>
      </c>
      <c r="D30" s="27" t="s">
        <v>18</v>
      </c>
      <c r="E30" s="23">
        <v>2286</v>
      </c>
      <c r="F30" s="23">
        <v>155</v>
      </c>
      <c r="G30" s="23">
        <v>201</v>
      </c>
      <c r="H30" s="23">
        <v>154</v>
      </c>
      <c r="I30" s="23" t="s">
        <v>337</v>
      </c>
      <c r="M30" s="23">
        <v>1</v>
      </c>
      <c r="N30" s="25" t="s">
        <v>1432</v>
      </c>
      <c r="O30" s="25"/>
      <c r="P30" s="25" t="s">
        <v>1431</v>
      </c>
    </row>
    <row r="31" spans="1:17" x14ac:dyDescent="0.45">
      <c r="A31" s="23">
        <v>27</v>
      </c>
      <c r="B31" s="23" t="s">
        <v>1426</v>
      </c>
      <c r="C31" s="35" t="s">
        <v>3</v>
      </c>
      <c r="D31" s="42"/>
      <c r="E31" s="23">
        <v>1261</v>
      </c>
      <c r="F31" s="23">
        <v>137</v>
      </c>
      <c r="G31" s="23">
        <v>126</v>
      </c>
      <c r="H31" s="23">
        <v>120</v>
      </c>
      <c r="I31" s="23" t="s">
        <v>337</v>
      </c>
      <c r="J31" s="23" t="s">
        <v>337</v>
      </c>
      <c r="K31" s="23" t="s">
        <v>337</v>
      </c>
      <c r="M31" s="23">
        <v>3</v>
      </c>
      <c r="N31" s="31" t="s">
        <v>1216</v>
      </c>
      <c r="O31" s="31"/>
      <c r="P31" s="35" t="s">
        <v>3206</v>
      </c>
      <c r="Q31" s="31" t="s">
        <v>3343</v>
      </c>
    </row>
    <row r="32" spans="1:17" x14ac:dyDescent="0.45">
      <c r="A32" s="23">
        <v>27</v>
      </c>
      <c r="B32" s="23" t="s">
        <v>1428</v>
      </c>
      <c r="C32" s="26" t="s">
        <v>4</v>
      </c>
      <c r="D32" s="42" t="s">
        <v>62</v>
      </c>
      <c r="E32" s="23">
        <v>1293</v>
      </c>
      <c r="F32" s="23">
        <v>137</v>
      </c>
      <c r="G32" s="23">
        <v>125</v>
      </c>
      <c r="H32" s="23">
        <v>129</v>
      </c>
      <c r="I32" s="23" t="s">
        <v>337</v>
      </c>
      <c r="K32" s="23" t="s">
        <v>337</v>
      </c>
      <c r="L32" s="23">
        <v>7</v>
      </c>
      <c r="M32" s="23">
        <v>3</v>
      </c>
      <c r="N32" s="42" t="s">
        <v>1425</v>
      </c>
      <c r="O32" s="42"/>
      <c r="P32" s="26" t="s">
        <v>1427</v>
      </c>
    </row>
    <row r="33" spans="1:17" x14ac:dyDescent="0.45">
      <c r="A33" s="23">
        <v>28</v>
      </c>
      <c r="B33" s="23" t="s">
        <v>212</v>
      </c>
      <c r="C33" s="35" t="s">
        <v>3</v>
      </c>
      <c r="D33" s="42"/>
      <c r="E33" s="23">
        <v>2374</v>
      </c>
      <c r="F33" s="23">
        <v>181</v>
      </c>
      <c r="G33" s="23">
        <v>182</v>
      </c>
      <c r="H33" s="23">
        <v>175</v>
      </c>
      <c r="I33" s="23" t="s">
        <v>337</v>
      </c>
      <c r="J33" s="23" t="s">
        <v>337</v>
      </c>
      <c r="K33" s="23" t="s">
        <v>337</v>
      </c>
      <c r="M33" s="23">
        <v>3</v>
      </c>
      <c r="N33" s="35" t="s">
        <v>1423</v>
      </c>
      <c r="O33" s="35"/>
      <c r="P33" s="41" t="s">
        <v>3207</v>
      </c>
      <c r="Q33" s="31" t="s">
        <v>3338</v>
      </c>
    </row>
    <row r="34" spans="1:17" x14ac:dyDescent="0.45">
      <c r="A34" s="23">
        <v>28</v>
      </c>
      <c r="B34" s="23" t="s">
        <v>195</v>
      </c>
      <c r="C34" s="26" t="s">
        <v>4</v>
      </c>
      <c r="D34" s="42" t="s">
        <v>62</v>
      </c>
      <c r="E34" s="23">
        <v>2432</v>
      </c>
      <c r="F34" s="23">
        <v>181</v>
      </c>
      <c r="G34" s="23">
        <v>177</v>
      </c>
      <c r="H34" s="23">
        <v>195</v>
      </c>
      <c r="I34" s="23" t="s">
        <v>337</v>
      </c>
      <c r="M34" s="23">
        <v>3</v>
      </c>
      <c r="N34" s="42" t="s">
        <v>1425</v>
      </c>
      <c r="O34" s="42"/>
      <c r="P34" s="35" t="s">
        <v>1424</v>
      </c>
    </row>
    <row r="35" spans="1:17" x14ac:dyDescent="0.45">
      <c r="A35" s="23">
        <v>29</v>
      </c>
      <c r="B35" s="23" t="s">
        <v>1422</v>
      </c>
      <c r="C35" s="37" t="s">
        <v>32</v>
      </c>
      <c r="E35" s="23">
        <v>816</v>
      </c>
      <c r="F35" s="23">
        <v>146</v>
      </c>
      <c r="G35" s="23">
        <v>86</v>
      </c>
      <c r="H35" s="23">
        <v>89</v>
      </c>
      <c r="I35" s="23" t="s">
        <v>337</v>
      </c>
      <c r="K35" s="23" t="s">
        <v>337</v>
      </c>
      <c r="M35" s="23">
        <v>3</v>
      </c>
      <c r="N35" s="29" t="s">
        <v>1419</v>
      </c>
      <c r="O35" s="29"/>
      <c r="P35" s="37" t="s">
        <v>1421</v>
      </c>
    </row>
    <row r="36" spans="1:17" x14ac:dyDescent="0.45">
      <c r="A36" s="23">
        <v>30</v>
      </c>
      <c r="B36" s="23" t="s">
        <v>1420</v>
      </c>
      <c r="C36" s="37" t="s">
        <v>32</v>
      </c>
      <c r="E36" s="23">
        <v>1309</v>
      </c>
      <c r="F36" s="23">
        <v>172</v>
      </c>
      <c r="G36" s="23">
        <v>117</v>
      </c>
      <c r="H36" s="23">
        <v>120</v>
      </c>
      <c r="I36" s="23" t="s">
        <v>337</v>
      </c>
      <c r="K36" s="23" t="s">
        <v>337</v>
      </c>
      <c r="M36" s="23">
        <v>3</v>
      </c>
      <c r="N36" s="29" t="s">
        <v>1419</v>
      </c>
      <c r="O36" s="29"/>
      <c r="P36" s="35" t="s">
        <v>1418</v>
      </c>
    </row>
    <row r="37" spans="1:17" x14ac:dyDescent="0.45">
      <c r="A37" s="23">
        <v>31</v>
      </c>
      <c r="B37" s="23" t="s">
        <v>269</v>
      </c>
      <c r="C37" s="37" t="s">
        <v>32</v>
      </c>
      <c r="D37" s="35" t="s">
        <v>3</v>
      </c>
      <c r="E37" s="23">
        <v>2488</v>
      </c>
      <c r="F37" s="23">
        <v>207</v>
      </c>
      <c r="G37" s="23">
        <v>180</v>
      </c>
      <c r="H37" s="23">
        <v>173</v>
      </c>
      <c r="I37" s="23" t="s">
        <v>337</v>
      </c>
      <c r="K37" s="23" t="s">
        <v>337</v>
      </c>
      <c r="M37" s="23">
        <v>3</v>
      </c>
      <c r="N37" s="29" t="s">
        <v>587</v>
      </c>
      <c r="O37" s="29"/>
      <c r="P37" s="35" t="s">
        <v>1417</v>
      </c>
    </row>
    <row r="38" spans="1:17" x14ac:dyDescent="0.45">
      <c r="A38" s="23">
        <v>32</v>
      </c>
      <c r="B38" s="23" t="s">
        <v>1416</v>
      </c>
      <c r="C38" s="37" t="s">
        <v>32</v>
      </c>
      <c r="E38" s="23">
        <v>860</v>
      </c>
      <c r="F38" s="23">
        <v>130</v>
      </c>
      <c r="G38" s="23">
        <v>105</v>
      </c>
      <c r="H38" s="23">
        <v>76</v>
      </c>
      <c r="I38" s="23" t="s">
        <v>337</v>
      </c>
      <c r="K38" s="23" t="s">
        <v>337</v>
      </c>
      <c r="M38" s="23">
        <v>3</v>
      </c>
      <c r="N38" s="38" t="s">
        <v>1415</v>
      </c>
      <c r="O38" s="38"/>
      <c r="P38" s="31" t="s">
        <v>1414</v>
      </c>
    </row>
    <row r="39" spans="1:17" x14ac:dyDescent="0.45">
      <c r="A39" s="23">
        <v>33</v>
      </c>
      <c r="B39" s="23" t="s">
        <v>1413</v>
      </c>
      <c r="C39" s="37" t="s">
        <v>32</v>
      </c>
      <c r="E39" s="23">
        <v>1393</v>
      </c>
      <c r="F39" s="23">
        <v>156</v>
      </c>
      <c r="G39" s="23">
        <v>137</v>
      </c>
      <c r="H39" s="23">
        <v>111</v>
      </c>
      <c r="I39" s="23" t="s">
        <v>337</v>
      </c>
      <c r="K39" s="23" t="s">
        <v>337</v>
      </c>
      <c r="M39" s="23">
        <v>3</v>
      </c>
      <c r="N39" s="37" t="s">
        <v>542</v>
      </c>
      <c r="O39" s="37"/>
      <c r="P39" s="35" t="s">
        <v>1412</v>
      </c>
    </row>
    <row r="40" spans="1:17" x14ac:dyDescent="0.45">
      <c r="A40" s="23">
        <v>34</v>
      </c>
      <c r="B40" s="23" t="s">
        <v>1411</v>
      </c>
      <c r="C40" s="37" t="s">
        <v>32</v>
      </c>
      <c r="D40" s="35" t="s">
        <v>3</v>
      </c>
      <c r="E40" s="23">
        <v>2567</v>
      </c>
      <c r="F40" s="23">
        <v>191</v>
      </c>
      <c r="G40" s="23">
        <v>204</v>
      </c>
      <c r="H40" s="23">
        <v>156</v>
      </c>
      <c r="I40" s="23" t="s">
        <v>337</v>
      </c>
      <c r="K40" s="23" t="s">
        <v>337</v>
      </c>
      <c r="M40" s="23">
        <v>3</v>
      </c>
      <c r="N40" s="26" t="s">
        <v>833</v>
      </c>
      <c r="O40" s="32" t="s">
        <v>27</v>
      </c>
      <c r="P40" s="35" t="s">
        <v>1410</v>
      </c>
    </row>
    <row r="41" spans="1:17" x14ac:dyDescent="0.45">
      <c r="A41" s="23">
        <v>35</v>
      </c>
      <c r="B41" s="23" t="s">
        <v>1409</v>
      </c>
      <c r="C41" s="40" t="s">
        <v>61</v>
      </c>
      <c r="E41" s="23">
        <v>1155</v>
      </c>
      <c r="F41" s="23">
        <v>172</v>
      </c>
      <c r="G41" s="23">
        <v>107</v>
      </c>
      <c r="H41" s="23">
        <v>108</v>
      </c>
      <c r="I41" s="23" t="s">
        <v>337</v>
      </c>
      <c r="K41" s="23" t="s">
        <v>337</v>
      </c>
      <c r="M41" s="23">
        <v>1</v>
      </c>
      <c r="N41" s="27" t="s">
        <v>574</v>
      </c>
      <c r="O41" s="27"/>
      <c r="P41" s="40" t="s">
        <v>1408</v>
      </c>
    </row>
    <row r="42" spans="1:17" x14ac:dyDescent="0.45">
      <c r="A42" s="23">
        <v>36</v>
      </c>
      <c r="B42" s="23" t="s">
        <v>1407</v>
      </c>
      <c r="C42" s="40" t="s">
        <v>61</v>
      </c>
      <c r="E42" s="23">
        <v>2437</v>
      </c>
      <c r="F42" s="23">
        <v>216</v>
      </c>
      <c r="G42" s="23">
        <v>178</v>
      </c>
      <c r="H42" s="23">
        <v>162</v>
      </c>
      <c r="I42" s="23" t="s">
        <v>337</v>
      </c>
      <c r="K42" s="23" t="s">
        <v>337</v>
      </c>
      <c r="M42" s="23">
        <v>1</v>
      </c>
      <c r="N42" s="40" t="s">
        <v>1406</v>
      </c>
      <c r="O42" s="31" t="s">
        <v>288</v>
      </c>
      <c r="P42" s="26" t="s">
        <v>1405</v>
      </c>
    </row>
    <row r="43" spans="1:17" x14ac:dyDescent="0.45">
      <c r="A43" s="23">
        <v>37</v>
      </c>
      <c r="B43" s="23" t="s">
        <v>1401</v>
      </c>
      <c r="C43" s="33" t="s">
        <v>22</v>
      </c>
      <c r="E43" s="23">
        <v>883</v>
      </c>
      <c r="F43" s="23">
        <v>116</v>
      </c>
      <c r="G43" s="23">
        <v>96</v>
      </c>
      <c r="H43" s="23">
        <v>109</v>
      </c>
      <c r="K43" s="23" t="s">
        <v>337</v>
      </c>
      <c r="M43" s="23">
        <v>3</v>
      </c>
      <c r="N43" s="31" t="s">
        <v>1400</v>
      </c>
      <c r="O43" s="31"/>
      <c r="P43" s="33" t="s">
        <v>457</v>
      </c>
    </row>
    <row r="44" spans="1:17" x14ac:dyDescent="0.45">
      <c r="A44" s="23">
        <v>37</v>
      </c>
      <c r="B44" s="23" t="s">
        <v>1404</v>
      </c>
      <c r="C44" s="42" t="s">
        <v>62</v>
      </c>
      <c r="E44" s="23">
        <v>883</v>
      </c>
      <c r="F44" s="23">
        <v>116</v>
      </c>
      <c r="G44" s="23">
        <v>96</v>
      </c>
      <c r="H44" s="23">
        <v>109</v>
      </c>
      <c r="I44" s="23" t="s">
        <v>337</v>
      </c>
      <c r="K44" s="23" t="s">
        <v>337</v>
      </c>
      <c r="L44" s="23">
        <v>7</v>
      </c>
      <c r="M44" s="23">
        <v>3</v>
      </c>
      <c r="N44" s="42" t="s">
        <v>1403</v>
      </c>
      <c r="O44" s="42"/>
      <c r="P44" s="29" t="s">
        <v>1402</v>
      </c>
    </row>
    <row r="45" spans="1:17" x14ac:dyDescent="0.45">
      <c r="A45" s="23">
        <v>38</v>
      </c>
      <c r="B45" s="23" t="s">
        <v>276</v>
      </c>
      <c r="C45" s="33" t="s">
        <v>22</v>
      </c>
      <c r="E45" s="23">
        <v>2279</v>
      </c>
      <c r="F45" s="23">
        <v>177</v>
      </c>
      <c r="G45" s="23">
        <v>169</v>
      </c>
      <c r="H45" s="23">
        <v>190</v>
      </c>
      <c r="K45" s="23" t="s">
        <v>337</v>
      </c>
      <c r="M45" s="23">
        <v>3</v>
      </c>
      <c r="N45" s="29" t="s">
        <v>1397</v>
      </c>
      <c r="O45" s="33" t="s">
        <v>138</v>
      </c>
      <c r="P45" s="33" t="s">
        <v>1396</v>
      </c>
      <c r="Q45" s="33" t="s">
        <v>3344</v>
      </c>
    </row>
    <row r="46" spans="1:17" x14ac:dyDescent="0.45">
      <c r="A46" s="23">
        <v>38</v>
      </c>
      <c r="B46" s="23" t="s">
        <v>60</v>
      </c>
      <c r="C46" s="42" t="s">
        <v>62</v>
      </c>
      <c r="D46" s="40" t="s">
        <v>61</v>
      </c>
      <c r="E46" s="23">
        <v>2309</v>
      </c>
      <c r="F46" s="23">
        <v>177</v>
      </c>
      <c r="G46" s="23">
        <v>170</v>
      </c>
      <c r="H46" s="23">
        <v>193</v>
      </c>
      <c r="I46" s="23" t="s">
        <v>337</v>
      </c>
      <c r="M46" s="23">
        <v>3</v>
      </c>
      <c r="N46" s="40" t="s">
        <v>1399</v>
      </c>
      <c r="O46" s="40"/>
      <c r="P46" s="27" t="s">
        <v>1398</v>
      </c>
    </row>
    <row r="47" spans="1:17" x14ac:dyDescent="0.45">
      <c r="A47" s="23">
        <v>39</v>
      </c>
      <c r="B47" s="23" t="s">
        <v>1395</v>
      </c>
      <c r="C47" s="31" t="s">
        <v>68</v>
      </c>
      <c r="D47" s="40" t="s">
        <v>61</v>
      </c>
      <c r="E47" s="23">
        <v>724</v>
      </c>
      <c r="F47" s="23">
        <v>251</v>
      </c>
      <c r="G47" s="23">
        <v>80</v>
      </c>
      <c r="H47" s="23">
        <v>41</v>
      </c>
      <c r="I47" s="23" t="s">
        <v>337</v>
      </c>
      <c r="K47" s="23" t="s">
        <v>337</v>
      </c>
      <c r="M47" s="23">
        <v>1</v>
      </c>
      <c r="N47" s="29" t="s">
        <v>1156</v>
      </c>
      <c r="O47" s="29"/>
      <c r="P47" s="26" t="s">
        <v>1394</v>
      </c>
      <c r="Q47" s="40" t="s">
        <v>3345</v>
      </c>
    </row>
    <row r="48" spans="1:17" x14ac:dyDescent="0.45">
      <c r="A48" s="23">
        <v>40</v>
      </c>
      <c r="B48" s="23" t="s">
        <v>1393</v>
      </c>
      <c r="C48" s="31" t="s">
        <v>68</v>
      </c>
      <c r="D48" s="40" t="s">
        <v>61</v>
      </c>
      <c r="E48" s="23">
        <v>1926</v>
      </c>
      <c r="F48" s="23">
        <v>295</v>
      </c>
      <c r="G48" s="23">
        <v>156</v>
      </c>
      <c r="H48" s="23">
        <v>90</v>
      </c>
      <c r="I48" s="23" t="s">
        <v>337</v>
      </c>
      <c r="K48" s="23" t="s">
        <v>337</v>
      </c>
      <c r="M48" s="23">
        <v>1</v>
      </c>
      <c r="N48" s="40" t="s">
        <v>1392</v>
      </c>
      <c r="O48" s="40"/>
      <c r="P48" s="40" t="s">
        <v>1391</v>
      </c>
    </row>
    <row r="49" spans="1:17" x14ac:dyDescent="0.45">
      <c r="A49" s="23">
        <v>41</v>
      </c>
      <c r="B49" s="23" t="s">
        <v>1390</v>
      </c>
      <c r="C49" s="37" t="s">
        <v>32</v>
      </c>
      <c r="D49" s="38" t="s">
        <v>72</v>
      </c>
      <c r="E49" s="23">
        <v>667</v>
      </c>
      <c r="F49" s="23">
        <v>120</v>
      </c>
      <c r="G49" s="23">
        <v>83</v>
      </c>
      <c r="H49" s="23">
        <v>73</v>
      </c>
      <c r="I49" s="23" t="s">
        <v>337</v>
      </c>
      <c r="J49" s="23" t="s">
        <v>337</v>
      </c>
      <c r="K49" s="23" t="s">
        <v>337</v>
      </c>
      <c r="M49" s="23">
        <v>1</v>
      </c>
      <c r="N49" s="29" t="s">
        <v>1389</v>
      </c>
      <c r="O49" s="29"/>
      <c r="P49" s="38" t="s">
        <v>3208</v>
      </c>
      <c r="Q49" s="31" t="s">
        <v>3346</v>
      </c>
    </row>
    <row r="50" spans="1:17" x14ac:dyDescent="0.45">
      <c r="A50" s="23">
        <v>42</v>
      </c>
      <c r="B50" s="23" t="s">
        <v>155</v>
      </c>
      <c r="C50" s="37" t="s">
        <v>32</v>
      </c>
      <c r="D50" s="38" t="s">
        <v>72</v>
      </c>
      <c r="E50" s="23">
        <v>1976</v>
      </c>
      <c r="F50" s="23">
        <v>181</v>
      </c>
      <c r="G50" s="23">
        <v>161</v>
      </c>
      <c r="H50" s="23">
        <v>150</v>
      </c>
      <c r="I50" s="23" t="s">
        <v>337</v>
      </c>
      <c r="J50" s="23" t="s">
        <v>337</v>
      </c>
      <c r="K50" s="23" t="s">
        <v>337</v>
      </c>
      <c r="M50" s="23">
        <v>1</v>
      </c>
      <c r="N50" s="29" t="s">
        <v>1388</v>
      </c>
      <c r="O50" s="29"/>
      <c r="P50" s="38" t="s">
        <v>3209</v>
      </c>
      <c r="Q50" s="34" t="s">
        <v>3347</v>
      </c>
    </row>
    <row r="51" spans="1:17" x14ac:dyDescent="0.45">
      <c r="A51" s="23">
        <v>43</v>
      </c>
      <c r="B51" s="23" t="s">
        <v>1387</v>
      </c>
      <c r="C51" s="37" t="s">
        <v>32</v>
      </c>
      <c r="D51" s="36" t="s">
        <v>12</v>
      </c>
      <c r="E51" s="23">
        <v>1228</v>
      </c>
      <c r="F51" s="23">
        <v>128</v>
      </c>
      <c r="G51" s="23">
        <v>131</v>
      </c>
      <c r="H51" s="23">
        <v>112</v>
      </c>
      <c r="I51" s="23" t="s">
        <v>337</v>
      </c>
      <c r="J51" s="23" t="s">
        <v>337</v>
      </c>
      <c r="K51" s="23" t="s">
        <v>337</v>
      </c>
      <c r="M51" s="23">
        <v>3</v>
      </c>
      <c r="N51" s="36" t="s">
        <v>1140</v>
      </c>
      <c r="O51" s="36"/>
      <c r="P51" s="36" t="s">
        <v>3210</v>
      </c>
      <c r="Q51" s="31" t="s">
        <v>3338</v>
      </c>
    </row>
    <row r="52" spans="1:17" x14ac:dyDescent="0.45">
      <c r="A52" s="23">
        <v>44</v>
      </c>
      <c r="B52" s="23" t="s">
        <v>1386</v>
      </c>
      <c r="C52" s="37" t="s">
        <v>32</v>
      </c>
      <c r="D52" s="36" t="s">
        <v>12</v>
      </c>
      <c r="E52" s="23">
        <v>1681</v>
      </c>
      <c r="F52" s="23">
        <v>155</v>
      </c>
      <c r="G52" s="23">
        <v>153</v>
      </c>
      <c r="H52" s="23">
        <v>136</v>
      </c>
      <c r="I52" s="23" t="s">
        <v>337</v>
      </c>
      <c r="J52" s="23" t="s">
        <v>337</v>
      </c>
      <c r="K52" s="23" t="s">
        <v>337</v>
      </c>
      <c r="M52" s="23">
        <v>3</v>
      </c>
      <c r="N52" s="36" t="s">
        <v>1140</v>
      </c>
      <c r="O52" s="36"/>
      <c r="P52" s="36" t="s">
        <v>3211</v>
      </c>
      <c r="Q52" s="31" t="s">
        <v>3338</v>
      </c>
    </row>
    <row r="53" spans="1:17" x14ac:dyDescent="0.45">
      <c r="A53" s="23">
        <v>45</v>
      </c>
      <c r="B53" s="23" t="s">
        <v>1385</v>
      </c>
      <c r="C53" s="37" t="s">
        <v>32</v>
      </c>
      <c r="D53" s="36" t="s">
        <v>12</v>
      </c>
      <c r="E53" s="23">
        <v>2559</v>
      </c>
      <c r="F53" s="23">
        <v>181</v>
      </c>
      <c r="G53" s="23">
        <v>202</v>
      </c>
      <c r="H53" s="23">
        <v>167</v>
      </c>
      <c r="I53" s="23" t="s">
        <v>337</v>
      </c>
      <c r="J53" s="23" t="s">
        <v>337</v>
      </c>
      <c r="K53" s="23" t="s">
        <v>337</v>
      </c>
      <c r="M53" s="23">
        <v>3</v>
      </c>
      <c r="N53" s="36" t="s">
        <v>1140</v>
      </c>
      <c r="O53" s="36"/>
      <c r="P53" s="36" t="s">
        <v>3212</v>
      </c>
      <c r="Q53" s="31" t="s">
        <v>3338</v>
      </c>
    </row>
    <row r="54" spans="1:17" x14ac:dyDescent="0.45">
      <c r="A54" s="23">
        <v>46</v>
      </c>
      <c r="B54" s="23" t="s">
        <v>1384</v>
      </c>
      <c r="C54" s="32" t="s">
        <v>29</v>
      </c>
      <c r="D54" s="36" t="s">
        <v>12</v>
      </c>
      <c r="E54" s="23">
        <v>1018</v>
      </c>
      <c r="F54" s="23">
        <v>111</v>
      </c>
      <c r="G54" s="23">
        <v>121</v>
      </c>
      <c r="H54" s="23">
        <v>99</v>
      </c>
      <c r="K54" s="23" t="s">
        <v>337</v>
      </c>
      <c r="M54" s="23">
        <v>3</v>
      </c>
      <c r="N54" s="31" t="s">
        <v>933</v>
      </c>
      <c r="O54" s="31"/>
      <c r="P54" s="37" t="s">
        <v>1383</v>
      </c>
    </row>
    <row r="55" spans="1:17" x14ac:dyDescent="0.45">
      <c r="A55" s="23">
        <v>47</v>
      </c>
      <c r="B55" s="23" t="s">
        <v>1382</v>
      </c>
      <c r="C55" s="32" t="s">
        <v>29</v>
      </c>
      <c r="D55" s="36" t="s">
        <v>12</v>
      </c>
      <c r="E55" s="23">
        <v>1859</v>
      </c>
      <c r="F55" s="23">
        <v>155</v>
      </c>
      <c r="G55" s="23">
        <v>165</v>
      </c>
      <c r="H55" s="23">
        <v>146</v>
      </c>
      <c r="K55" s="23" t="s">
        <v>337</v>
      </c>
      <c r="M55" s="23">
        <v>3</v>
      </c>
      <c r="N55" s="32" t="s">
        <v>675</v>
      </c>
      <c r="O55" s="32" t="s">
        <v>38</v>
      </c>
      <c r="P55" s="37" t="s">
        <v>1381</v>
      </c>
    </row>
    <row r="56" spans="1:17" x14ac:dyDescent="0.45">
      <c r="A56" s="23">
        <v>48</v>
      </c>
      <c r="B56" s="23" t="s">
        <v>1380</v>
      </c>
      <c r="C56" s="37" t="s">
        <v>32</v>
      </c>
      <c r="D56" s="32" t="s">
        <v>29</v>
      </c>
      <c r="E56" s="23">
        <v>1004</v>
      </c>
      <c r="F56" s="23">
        <v>155</v>
      </c>
      <c r="G56" s="23">
        <v>100</v>
      </c>
      <c r="H56" s="23">
        <v>100</v>
      </c>
      <c r="J56" s="23" t="s">
        <v>337</v>
      </c>
      <c r="K56" s="23" t="s">
        <v>337</v>
      </c>
      <c r="M56" s="23">
        <v>3</v>
      </c>
      <c r="N56" s="27" t="s">
        <v>639</v>
      </c>
      <c r="O56" s="27"/>
      <c r="P56" s="27" t="s">
        <v>3213</v>
      </c>
      <c r="Q56" s="31" t="s">
        <v>3338</v>
      </c>
    </row>
    <row r="57" spans="1:17" x14ac:dyDescent="0.45">
      <c r="A57" s="23">
        <v>49</v>
      </c>
      <c r="B57" s="23" t="s">
        <v>256</v>
      </c>
      <c r="C57" s="37" t="s">
        <v>32</v>
      </c>
      <c r="D57" s="32" t="s">
        <v>29</v>
      </c>
      <c r="E57" s="23">
        <v>2082</v>
      </c>
      <c r="F57" s="23">
        <v>172</v>
      </c>
      <c r="G57" s="23">
        <v>179</v>
      </c>
      <c r="H57" s="23">
        <v>143</v>
      </c>
      <c r="J57" s="23" t="s">
        <v>337</v>
      </c>
      <c r="K57" s="23" t="s">
        <v>337</v>
      </c>
      <c r="M57" s="23">
        <v>3</v>
      </c>
      <c r="N57" s="27" t="s">
        <v>1379</v>
      </c>
      <c r="O57" s="32" t="s">
        <v>38</v>
      </c>
      <c r="P57" s="32" t="s">
        <v>3214</v>
      </c>
      <c r="Q57" s="31" t="s">
        <v>3348</v>
      </c>
    </row>
    <row r="58" spans="1:17" x14ac:dyDescent="0.45">
      <c r="A58" s="23">
        <v>50</v>
      </c>
      <c r="B58" s="23" t="s">
        <v>1377</v>
      </c>
      <c r="C58" s="35" t="s">
        <v>3</v>
      </c>
      <c r="E58" s="23">
        <v>676</v>
      </c>
      <c r="F58" s="23">
        <v>67</v>
      </c>
      <c r="G58" s="23">
        <v>109</v>
      </c>
      <c r="H58" s="23">
        <v>78</v>
      </c>
      <c r="I58" s="23" t="s">
        <v>337</v>
      </c>
      <c r="K58" s="23" t="s">
        <v>337</v>
      </c>
      <c r="M58" s="23">
        <v>3</v>
      </c>
      <c r="N58" s="35" t="s">
        <v>394</v>
      </c>
      <c r="O58" s="35" t="s">
        <v>144</v>
      </c>
      <c r="P58" s="35" t="s">
        <v>1376</v>
      </c>
    </row>
    <row r="59" spans="1:17" x14ac:dyDescent="0.45">
      <c r="A59" s="23">
        <v>50</v>
      </c>
      <c r="B59" s="23" t="s">
        <v>1378</v>
      </c>
      <c r="C59" s="35" t="s">
        <v>3</v>
      </c>
      <c r="D59" s="26" t="s">
        <v>4</v>
      </c>
      <c r="E59" s="23">
        <v>681</v>
      </c>
      <c r="F59" s="23">
        <v>67</v>
      </c>
      <c r="G59" s="23">
        <v>108</v>
      </c>
      <c r="H59" s="23">
        <v>81</v>
      </c>
      <c r="I59" s="23" t="s">
        <v>337</v>
      </c>
      <c r="K59" s="23" t="s">
        <v>337</v>
      </c>
      <c r="L59" s="23">
        <v>7</v>
      </c>
      <c r="M59" s="23">
        <v>3</v>
      </c>
      <c r="N59" s="35" t="s">
        <v>391</v>
      </c>
      <c r="O59" s="35"/>
      <c r="P59" s="35" t="s">
        <v>1376</v>
      </c>
    </row>
    <row r="60" spans="1:17" x14ac:dyDescent="0.45">
      <c r="A60" s="23">
        <v>51</v>
      </c>
      <c r="B60" s="23" t="s">
        <v>1373</v>
      </c>
      <c r="C60" s="35" t="s">
        <v>3</v>
      </c>
      <c r="D60" s="26"/>
      <c r="E60" s="23">
        <v>1567</v>
      </c>
      <c r="F60" s="23">
        <v>111</v>
      </c>
      <c r="G60" s="23">
        <v>167</v>
      </c>
      <c r="H60" s="23">
        <v>136</v>
      </c>
      <c r="I60" s="23" t="s">
        <v>337</v>
      </c>
      <c r="K60" s="23" t="s">
        <v>337</v>
      </c>
      <c r="M60" s="23">
        <v>3</v>
      </c>
      <c r="N60" s="35" t="s">
        <v>1372</v>
      </c>
      <c r="O60" s="35" t="s">
        <v>144</v>
      </c>
      <c r="P60" s="35" t="s">
        <v>1371</v>
      </c>
    </row>
    <row r="61" spans="1:17" x14ac:dyDescent="0.45">
      <c r="A61" s="23">
        <v>51</v>
      </c>
      <c r="B61" s="23" t="s">
        <v>1375</v>
      </c>
      <c r="C61" s="35" t="s">
        <v>3</v>
      </c>
      <c r="D61" s="26" t="s">
        <v>4</v>
      </c>
      <c r="E61" s="23">
        <v>1897</v>
      </c>
      <c r="F61" s="23">
        <v>111</v>
      </c>
      <c r="G61" s="23">
        <v>201</v>
      </c>
      <c r="H61" s="23">
        <v>142</v>
      </c>
      <c r="I61" s="23" t="s">
        <v>337</v>
      </c>
      <c r="M61" s="23">
        <v>3</v>
      </c>
      <c r="N61" s="35" t="s">
        <v>391</v>
      </c>
      <c r="O61" s="35"/>
      <c r="P61" s="26" t="s">
        <v>1374</v>
      </c>
    </row>
    <row r="62" spans="1:17" x14ac:dyDescent="0.45">
      <c r="A62" s="23">
        <v>52</v>
      </c>
      <c r="B62" s="23" t="s">
        <v>1368</v>
      </c>
      <c r="C62" s="31" t="s">
        <v>68</v>
      </c>
      <c r="E62" s="23">
        <v>748</v>
      </c>
      <c r="F62" s="23">
        <v>120</v>
      </c>
      <c r="G62" s="23">
        <v>92</v>
      </c>
      <c r="H62" s="23">
        <v>78</v>
      </c>
      <c r="I62" s="23" t="s">
        <v>337</v>
      </c>
      <c r="J62" s="23" t="s">
        <v>337</v>
      </c>
      <c r="K62" s="23" t="s">
        <v>337</v>
      </c>
      <c r="M62" s="23">
        <v>3</v>
      </c>
      <c r="N62" s="29" t="s">
        <v>588</v>
      </c>
      <c r="O62" s="29"/>
      <c r="P62" s="29" t="s">
        <v>1369</v>
      </c>
      <c r="Q62" s="31" t="s">
        <v>3349</v>
      </c>
    </row>
    <row r="63" spans="1:17" x14ac:dyDescent="0.45">
      <c r="A63" s="23">
        <v>52</v>
      </c>
      <c r="B63" s="23" t="s">
        <v>1370</v>
      </c>
      <c r="C63" s="29" t="s">
        <v>78</v>
      </c>
      <c r="E63" s="23">
        <v>797</v>
      </c>
      <c r="F63" s="23">
        <v>120</v>
      </c>
      <c r="G63" s="23">
        <v>99</v>
      </c>
      <c r="H63" s="23">
        <v>78</v>
      </c>
      <c r="I63" s="23" t="s">
        <v>337</v>
      </c>
      <c r="L63" s="23">
        <v>7</v>
      </c>
      <c r="M63" s="23">
        <v>3</v>
      </c>
      <c r="N63" s="29" t="s">
        <v>588</v>
      </c>
      <c r="O63" s="29"/>
      <c r="P63" s="29" t="s">
        <v>1369</v>
      </c>
    </row>
    <row r="64" spans="1:17" x14ac:dyDescent="0.45">
      <c r="A64" s="23">
        <v>53</v>
      </c>
      <c r="B64" s="23" t="s">
        <v>85</v>
      </c>
      <c r="C64" s="31" t="s">
        <v>68</v>
      </c>
      <c r="E64" s="23">
        <v>1689</v>
      </c>
      <c r="F64" s="23">
        <v>163</v>
      </c>
      <c r="G64" s="23">
        <v>150</v>
      </c>
      <c r="H64" s="23">
        <v>136</v>
      </c>
      <c r="I64" s="23" t="s">
        <v>337</v>
      </c>
      <c r="J64" s="23" t="s">
        <v>337</v>
      </c>
      <c r="K64" s="23" t="s">
        <v>337</v>
      </c>
      <c r="M64" s="23">
        <v>3</v>
      </c>
      <c r="N64" s="29" t="s">
        <v>1365</v>
      </c>
      <c r="O64" s="29"/>
      <c r="P64" s="29" t="s">
        <v>3215</v>
      </c>
      <c r="Q64" s="31" t="s">
        <v>3350</v>
      </c>
    </row>
    <row r="65" spans="1:17" x14ac:dyDescent="0.45">
      <c r="A65" s="23">
        <v>53</v>
      </c>
      <c r="B65" s="23" t="s">
        <v>1367</v>
      </c>
      <c r="C65" s="29" t="s">
        <v>78</v>
      </c>
      <c r="E65" s="23">
        <v>1771</v>
      </c>
      <c r="F65" s="23">
        <v>163</v>
      </c>
      <c r="G65" s="23">
        <v>158</v>
      </c>
      <c r="H65" s="23">
        <v>136</v>
      </c>
      <c r="I65" s="23" t="s">
        <v>337</v>
      </c>
      <c r="M65" s="23">
        <v>3</v>
      </c>
      <c r="N65" s="29" t="s">
        <v>1365</v>
      </c>
      <c r="O65" s="29"/>
      <c r="P65" s="29" t="s">
        <v>1366</v>
      </c>
    </row>
    <row r="66" spans="1:17" x14ac:dyDescent="0.45">
      <c r="A66" s="23">
        <v>54</v>
      </c>
      <c r="B66" s="23" t="s">
        <v>1364</v>
      </c>
      <c r="C66" s="39" t="s">
        <v>111</v>
      </c>
      <c r="E66" s="23">
        <v>1106</v>
      </c>
      <c r="F66" s="23">
        <v>137</v>
      </c>
      <c r="G66" s="23">
        <v>122</v>
      </c>
      <c r="H66" s="23">
        <v>95</v>
      </c>
      <c r="I66" s="23" t="s">
        <v>337</v>
      </c>
      <c r="J66" s="23" t="s">
        <v>337</v>
      </c>
      <c r="K66" s="23" t="s">
        <v>337</v>
      </c>
      <c r="M66" s="23">
        <v>3</v>
      </c>
      <c r="N66" s="27" t="s">
        <v>757</v>
      </c>
      <c r="O66" s="27"/>
      <c r="P66" s="39" t="s">
        <v>3216</v>
      </c>
      <c r="Q66" s="31" t="s">
        <v>3338</v>
      </c>
    </row>
    <row r="67" spans="1:17" x14ac:dyDescent="0.45">
      <c r="A67" s="23">
        <v>55</v>
      </c>
      <c r="B67" s="23" t="s">
        <v>198</v>
      </c>
      <c r="C67" s="39" t="s">
        <v>111</v>
      </c>
      <c r="E67" s="23">
        <v>2450</v>
      </c>
      <c r="F67" s="23">
        <v>190</v>
      </c>
      <c r="G67" s="23">
        <v>191</v>
      </c>
      <c r="H67" s="23">
        <v>162</v>
      </c>
      <c r="I67" s="23" t="s">
        <v>337</v>
      </c>
      <c r="J67" s="23" t="s">
        <v>337</v>
      </c>
      <c r="K67" s="23" t="s">
        <v>337</v>
      </c>
      <c r="M67" s="23">
        <v>3</v>
      </c>
      <c r="N67" s="27" t="s">
        <v>760</v>
      </c>
      <c r="O67" s="27"/>
      <c r="P67" s="28" t="s">
        <v>3217</v>
      </c>
      <c r="Q67" s="31" t="s">
        <v>3338</v>
      </c>
    </row>
    <row r="68" spans="1:17" x14ac:dyDescent="0.45">
      <c r="A68" s="23">
        <v>56</v>
      </c>
      <c r="B68" s="23" t="s">
        <v>1363</v>
      </c>
      <c r="C68" s="28" t="s">
        <v>47</v>
      </c>
      <c r="E68" s="23">
        <v>1164</v>
      </c>
      <c r="F68" s="23">
        <v>120</v>
      </c>
      <c r="G68" s="23">
        <v>148</v>
      </c>
      <c r="H68" s="23">
        <v>82</v>
      </c>
      <c r="I68" s="23" t="s">
        <v>337</v>
      </c>
      <c r="K68" s="23" t="s">
        <v>337</v>
      </c>
      <c r="M68" s="23">
        <v>3</v>
      </c>
      <c r="N68" s="28" t="s">
        <v>1362</v>
      </c>
      <c r="O68" s="28"/>
      <c r="P68" s="28" t="s">
        <v>554</v>
      </c>
    </row>
    <row r="69" spans="1:17" x14ac:dyDescent="0.45">
      <c r="A69" s="23">
        <v>57</v>
      </c>
      <c r="B69" s="23" t="s">
        <v>202</v>
      </c>
      <c r="C69" s="28" t="s">
        <v>47</v>
      </c>
      <c r="E69" s="23">
        <v>2288</v>
      </c>
      <c r="F69" s="23">
        <v>163</v>
      </c>
      <c r="G69" s="23">
        <v>207</v>
      </c>
      <c r="H69" s="23">
        <v>138</v>
      </c>
      <c r="I69" s="23" t="s">
        <v>337</v>
      </c>
      <c r="K69" s="23" t="s">
        <v>337</v>
      </c>
      <c r="M69" s="23">
        <v>3</v>
      </c>
      <c r="N69" s="28" t="s">
        <v>1361</v>
      </c>
      <c r="O69" s="28" t="s">
        <v>1507</v>
      </c>
      <c r="P69" s="28" t="s">
        <v>1360</v>
      </c>
      <c r="Q69" s="28" t="s">
        <v>1513</v>
      </c>
    </row>
    <row r="70" spans="1:17" x14ac:dyDescent="0.45">
      <c r="A70" s="23">
        <v>58</v>
      </c>
      <c r="B70" s="23" t="s">
        <v>1359</v>
      </c>
      <c r="C70" s="33" t="s">
        <v>22</v>
      </c>
      <c r="E70" s="23">
        <v>1243</v>
      </c>
      <c r="F70" s="23">
        <v>146</v>
      </c>
      <c r="G70" s="23">
        <v>136</v>
      </c>
      <c r="H70" s="23">
        <v>93</v>
      </c>
      <c r="I70" s="23" t="s">
        <v>337</v>
      </c>
      <c r="J70" s="23" t="s">
        <v>337</v>
      </c>
      <c r="K70" s="23" t="s">
        <v>337</v>
      </c>
      <c r="M70" s="23">
        <v>3</v>
      </c>
      <c r="N70" s="29" t="s">
        <v>751</v>
      </c>
      <c r="O70" s="29"/>
      <c r="P70" s="33" t="s">
        <v>3218</v>
      </c>
      <c r="Q70" s="31" t="s">
        <v>3338</v>
      </c>
    </row>
    <row r="71" spans="1:17" x14ac:dyDescent="0.45">
      <c r="A71" s="23">
        <v>59</v>
      </c>
      <c r="B71" s="23" t="s">
        <v>21</v>
      </c>
      <c r="C71" s="33" t="s">
        <v>22</v>
      </c>
      <c r="E71" s="23">
        <v>3029</v>
      </c>
      <c r="F71" s="23">
        <v>207</v>
      </c>
      <c r="G71" s="23">
        <v>227</v>
      </c>
      <c r="H71" s="23">
        <v>166</v>
      </c>
      <c r="I71" s="23" t="s">
        <v>337</v>
      </c>
      <c r="J71" s="23" t="s">
        <v>337</v>
      </c>
      <c r="K71" s="23" t="s">
        <v>337</v>
      </c>
      <c r="M71" s="23">
        <v>3</v>
      </c>
      <c r="N71" s="25" t="s">
        <v>1358</v>
      </c>
      <c r="O71" s="29" t="s">
        <v>66</v>
      </c>
      <c r="P71" s="33" t="s">
        <v>3219</v>
      </c>
      <c r="Q71" s="31" t="s">
        <v>3351</v>
      </c>
    </row>
    <row r="72" spans="1:17" x14ac:dyDescent="0.45">
      <c r="A72" s="23">
        <v>60</v>
      </c>
      <c r="B72" s="23" t="s">
        <v>1357</v>
      </c>
      <c r="C72" s="39" t="s">
        <v>111</v>
      </c>
      <c r="E72" s="23">
        <v>829</v>
      </c>
      <c r="F72" s="23">
        <v>120</v>
      </c>
      <c r="G72" s="23">
        <v>101</v>
      </c>
      <c r="H72" s="23">
        <v>82</v>
      </c>
      <c r="I72" s="23" t="s">
        <v>337</v>
      </c>
      <c r="J72" s="23" t="s">
        <v>337</v>
      </c>
      <c r="K72" s="23" t="s">
        <v>337</v>
      </c>
      <c r="M72" s="23">
        <v>3</v>
      </c>
      <c r="N72" s="39" t="s">
        <v>1134</v>
      </c>
      <c r="O72" s="39"/>
      <c r="P72" s="35" t="s">
        <v>3220</v>
      </c>
      <c r="Q72" s="31" t="s">
        <v>3338</v>
      </c>
    </row>
    <row r="73" spans="1:17" x14ac:dyDescent="0.45">
      <c r="A73" s="23">
        <v>61</v>
      </c>
      <c r="B73" s="23" t="s">
        <v>1356</v>
      </c>
      <c r="C73" s="39" t="s">
        <v>111</v>
      </c>
      <c r="E73" s="23">
        <v>1419</v>
      </c>
      <c r="F73" s="23">
        <v>163</v>
      </c>
      <c r="G73" s="23">
        <v>130</v>
      </c>
      <c r="H73" s="23">
        <v>123</v>
      </c>
      <c r="I73" s="23" t="s">
        <v>337</v>
      </c>
      <c r="J73" s="23" t="s">
        <v>337</v>
      </c>
      <c r="K73" s="23" t="s">
        <v>337</v>
      </c>
      <c r="M73" s="23">
        <v>3</v>
      </c>
      <c r="N73" s="39" t="s">
        <v>1134</v>
      </c>
      <c r="O73" s="39"/>
      <c r="P73" s="35" t="s">
        <v>3221</v>
      </c>
      <c r="Q73" s="31" t="s">
        <v>3352</v>
      </c>
    </row>
    <row r="74" spans="1:17" x14ac:dyDescent="0.45">
      <c r="A74" s="23">
        <v>62</v>
      </c>
      <c r="B74" s="23" t="s">
        <v>1355</v>
      </c>
      <c r="C74" s="28" t="s">
        <v>47</v>
      </c>
      <c r="D74" s="39" t="s">
        <v>111</v>
      </c>
      <c r="E74" s="23">
        <v>2586</v>
      </c>
      <c r="F74" s="23">
        <v>207</v>
      </c>
      <c r="G74" s="23">
        <v>182</v>
      </c>
      <c r="H74" s="23">
        <v>184</v>
      </c>
      <c r="I74" s="23" t="s">
        <v>337</v>
      </c>
      <c r="J74" s="23" t="s">
        <v>337</v>
      </c>
      <c r="K74" s="23" t="s">
        <v>337</v>
      </c>
      <c r="M74" s="23">
        <v>3</v>
      </c>
      <c r="N74" s="39" t="s">
        <v>1748</v>
      </c>
      <c r="O74" s="39"/>
      <c r="P74" s="28" t="s">
        <v>3222</v>
      </c>
      <c r="Q74" s="31" t="s">
        <v>3353</v>
      </c>
    </row>
    <row r="75" spans="1:17" x14ac:dyDescent="0.45">
      <c r="A75" s="23">
        <v>63</v>
      </c>
      <c r="B75" s="23" t="s">
        <v>1354</v>
      </c>
      <c r="C75" s="27" t="s">
        <v>18</v>
      </c>
      <c r="E75" s="23">
        <v>1342</v>
      </c>
      <c r="F75" s="23">
        <v>93</v>
      </c>
      <c r="G75" s="23">
        <v>195</v>
      </c>
      <c r="H75" s="23">
        <v>82</v>
      </c>
      <c r="J75" s="23" t="s">
        <v>337</v>
      </c>
      <c r="K75" s="23" t="s">
        <v>337</v>
      </c>
      <c r="M75" s="23">
        <v>3</v>
      </c>
      <c r="N75" s="27" t="s">
        <v>712</v>
      </c>
      <c r="O75" s="27"/>
      <c r="P75" s="27" t="s">
        <v>3223</v>
      </c>
      <c r="Q75" s="31" t="s">
        <v>3338</v>
      </c>
    </row>
    <row r="76" spans="1:17" x14ac:dyDescent="0.45">
      <c r="A76" s="23">
        <v>64</v>
      </c>
      <c r="B76" s="23" t="s">
        <v>1353</v>
      </c>
      <c r="C76" s="27" t="s">
        <v>18</v>
      </c>
      <c r="E76" s="23">
        <v>2059</v>
      </c>
      <c r="F76" s="23">
        <v>120</v>
      </c>
      <c r="G76" s="23">
        <v>232</v>
      </c>
      <c r="H76" s="23">
        <v>117</v>
      </c>
      <c r="J76" s="23" t="s">
        <v>337</v>
      </c>
      <c r="K76" s="23" t="s">
        <v>337</v>
      </c>
      <c r="M76" s="23">
        <v>3</v>
      </c>
      <c r="N76" s="27" t="s">
        <v>469</v>
      </c>
      <c r="O76" s="27"/>
      <c r="P76" s="27" t="s">
        <v>3224</v>
      </c>
      <c r="Q76" s="31" t="s">
        <v>3338</v>
      </c>
    </row>
    <row r="77" spans="1:17" x14ac:dyDescent="0.45">
      <c r="A77" s="23">
        <v>65</v>
      </c>
      <c r="B77" s="23" t="s">
        <v>296</v>
      </c>
      <c r="C77" s="27" t="s">
        <v>18</v>
      </c>
      <c r="E77" s="23">
        <v>3057</v>
      </c>
      <c r="F77" s="23">
        <v>146</v>
      </c>
      <c r="G77" s="23">
        <v>271</v>
      </c>
      <c r="H77" s="23">
        <v>167</v>
      </c>
      <c r="J77" s="23" t="s">
        <v>337</v>
      </c>
      <c r="K77" s="23" t="s">
        <v>337</v>
      </c>
      <c r="M77" s="23">
        <v>3</v>
      </c>
      <c r="N77" s="27" t="s">
        <v>469</v>
      </c>
      <c r="O77" s="27"/>
      <c r="P77" s="28" t="s">
        <v>3225</v>
      </c>
      <c r="Q77" s="31" t="s">
        <v>3354</v>
      </c>
    </row>
    <row r="78" spans="1:17" x14ac:dyDescent="0.45">
      <c r="A78" s="23">
        <v>66</v>
      </c>
      <c r="B78" s="23" t="s">
        <v>3759</v>
      </c>
      <c r="C78" s="28" t="s">
        <v>47</v>
      </c>
      <c r="E78" s="23">
        <v>1278</v>
      </c>
      <c r="F78" s="23">
        <v>172</v>
      </c>
      <c r="G78" s="23">
        <v>137</v>
      </c>
      <c r="H78" s="23">
        <v>82</v>
      </c>
      <c r="I78" s="23" t="s">
        <v>337</v>
      </c>
      <c r="K78" s="23" t="s">
        <v>337</v>
      </c>
      <c r="M78" s="23">
        <v>3</v>
      </c>
      <c r="N78" s="28" t="s">
        <v>3772</v>
      </c>
      <c r="O78" s="28" t="s">
        <v>140</v>
      </c>
      <c r="P78" s="28" t="s">
        <v>554</v>
      </c>
    </row>
    <row r="79" spans="1:17" x14ac:dyDescent="0.45">
      <c r="A79" s="23">
        <v>67</v>
      </c>
      <c r="B79" s="23" t="s">
        <v>1352</v>
      </c>
      <c r="C79" s="28" t="s">
        <v>47</v>
      </c>
      <c r="E79" s="23">
        <v>2031</v>
      </c>
      <c r="F79" s="23">
        <v>190</v>
      </c>
      <c r="G79" s="23">
        <v>177</v>
      </c>
      <c r="H79" s="23">
        <v>125</v>
      </c>
      <c r="I79" s="23" t="s">
        <v>337</v>
      </c>
      <c r="K79" s="23" t="s">
        <v>337</v>
      </c>
      <c r="M79" s="23">
        <v>3</v>
      </c>
      <c r="N79" s="28" t="s">
        <v>1351</v>
      </c>
      <c r="O79" s="28"/>
      <c r="P79" s="28" t="s">
        <v>1350</v>
      </c>
      <c r="Q79" s="28" t="s">
        <v>1513</v>
      </c>
    </row>
    <row r="80" spans="1:17" x14ac:dyDescent="0.45">
      <c r="A80" s="23">
        <v>68</v>
      </c>
      <c r="B80" s="23" t="s">
        <v>268</v>
      </c>
      <c r="C80" s="28" t="s">
        <v>47</v>
      </c>
      <c r="E80" s="23">
        <v>3056</v>
      </c>
      <c r="F80" s="23">
        <v>207</v>
      </c>
      <c r="G80" s="23">
        <v>234</v>
      </c>
      <c r="H80" s="23">
        <v>159</v>
      </c>
      <c r="I80" s="23" t="s">
        <v>337</v>
      </c>
      <c r="K80" s="23" t="s">
        <v>337</v>
      </c>
      <c r="M80" s="23">
        <v>3</v>
      </c>
      <c r="N80" s="28" t="s">
        <v>553</v>
      </c>
      <c r="O80" s="28" t="s">
        <v>1507</v>
      </c>
      <c r="P80" s="41" t="s">
        <v>1758</v>
      </c>
      <c r="Q80" s="28" t="s">
        <v>3355</v>
      </c>
    </row>
    <row r="81" spans="1:17" x14ac:dyDescent="0.45">
      <c r="A81" s="23">
        <v>69</v>
      </c>
      <c r="B81" s="23" t="s">
        <v>1349</v>
      </c>
      <c r="C81" s="37" t="s">
        <v>32</v>
      </c>
      <c r="D81" s="36" t="s">
        <v>12</v>
      </c>
      <c r="E81" s="23">
        <v>1033</v>
      </c>
      <c r="F81" s="23">
        <v>137</v>
      </c>
      <c r="G81" s="23">
        <v>139</v>
      </c>
      <c r="H81" s="23">
        <v>61</v>
      </c>
      <c r="J81" s="23" t="s">
        <v>337</v>
      </c>
      <c r="K81" s="23" t="s">
        <v>337</v>
      </c>
      <c r="M81" s="23">
        <v>3</v>
      </c>
      <c r="N81" s="36" t="s">
        <v>1348</v>
      </c>
      <c r="O81" s="28"/>
      <c r="P81" s="36" t="s">
        <v>3226</v>
      </c>
      <c r="Q81" s="31" t="s">
        <v>3338</v>
      </c>
    </row>
    <row r="82" spans="1:17" x14ac:dyDescent="0.45">
      <c r="A82" s="23">
        <v>70</v>
      </c>
      <c r="B82" s="23" t="s">
        <v>1347</v>
      </c>
      <c r="C82" s="37" t="s">
        <v>32</v>
      </c>
      <c r="D82" s="36" t="s">
        <v>12</v>
      </c>
      <c r="E82" s="23">
        <v>1611</v>
      </c>
      <c r="F82" s="23">
        <v>163</v>
      </c>
      <c r="G82" s="23">
        <v>172</v>
      </c>
      <c r="H82" s="23">
        <v>92</v>
      </c>
      <c r="J82" s="23" t="s">
        <v>337</v>
      </c>
      <c r="K82" s="23" t="s">
        <v>337</v>
      </c>
      <c r="M82" s="23">
        <v>3</v>
      </c>
      <c r="N82" s="36" t="s">
        <v>1346</v>
      </c>
      <c r="O82" s="36" t="s">
        <v>64</v>
      </c>
      <c r="P82" s="36" t="s">
        <v>3196</v>
      </c>
      <c r="Q82" s="31" t="s">
        <v>3338</v>
      </c>
    </row>
    <row r="83" spans="1:17" x14ac:dyDescent="0.45">
      <c r="A83" s="23">
        <v>71</v>
      </c>
      <c r="B83" s="23" t="s">
        <v>157</v>
      </c>
      <c r="C83" s="37" t="s">
        <v>32</v>
      </c>
      <c r="D83" s="36" t="s">
        <v>12</v>
      </c>
      <c r="E83" s="23">
        <v>2431</v>
      </c>
      <c r="F83" s="23">
        <v>190</v>
      </c>
      <c r="G83" s="23">
        <v>207</v>
      </c>
      <c r="H83" s="23">
        <v>135</v>
      </c>
      <c r="J83" s="23" t="s">
        <v>337</v>
      </c>
      <c r="K83" s="23" t="s">
        <v>337</v>
      </c>
      <c r="M83" s="23">
        <v>3</v>
      </c>
      <c r="N83" s="36" t="s">
        <v>1140</v>
      </c>
      <c r="O83" s="36"/>
      <c r="P83" s="37" t="s">
        <v>3227</v>
      </c>
      <c r="Q83" s="31" t="s">
        <v>3338</v>
      </c>
    </row>
    <row r="84" spans="1:17" x14ac:dyDescent="0.45">
      <c r="A84" s="23">
        <v>72</v>
      </c>
      <c r="B84" s="23" t="s">
        <v>1345</v>
      </c>
      <c r="C84" s="37" t="s">
        <v>32</v>
      </c>
      <c r="D84" s="39" t="s">
        <v>111</v>
      </c>
      <c r="E84" s="23">
        <v>1040</v>
      </c>
      <c r="F84" s="23">
        <v>120</v>
      </c>
      <c r="G84" s="23">
        <v>97</v>
      </c>
      <c r="H84" s="23">
        <v>149</v>
      </c>
      <c r="I84" s="23" t="s">
        <v>337</v>
      </c>
      <c r="K84" s="23" t="s">
        <v>337</v>
      </c>
      <c r="M84" s="23">
        <v>3</v>
      </c>
      <c r="N84" s="39" t="s">
        <v>1344</v>
      </c>
      <c r="O84" s="36"/>
      <c r="P84" s="39" t="s">
        <v>1343</v>
      </c>
    </row>
    <row r="85" spans="1:17" x14ac:dyDescent="0.45">
      <c r="A85" s="23">
        <v>73</v>
      </c>
      <c r="B85" s="23" t="s">
        <v>172</v>
      </c>
      <c r="C85" s="37" t="s">
        <v>32</v>
      </c>
      <c r="D85" s="39" t="s">
        <v>111</v>
      </c>
      <c r="E85" s="23">
        <v>2422</v>
      </c>
      <c r="F85" s="23">
        <v>190</v>
      </c>
      <c r="G85" s="23">
        <v>166</v>
      </c>
      <c r="H85" s="23">
        <v>209</v>
      </c>
      <c r="I85" s="23" t="s">
        <v>337</v>
      </c>
      <c r="K85" s="23" t="s">
        <v>337</v>
      </c>
      <c r="M85" s="23">
        <v>3</v>
      </c>
      <c r="N85" s="37" t="s">
        <v>1342</v>
      </c>
      <c r="O85" s="39"/>
      <c r="P85" s="37" t="s">
        <v>1341</v>
      </c>
    </row>
    <row r="86" spans="1:17" x14ac:dyDescent="0.45">
      <c r="A86" s="23">
        <v>74</v>
      </c>
      <c r="B86" s="23" t="s">
        <v>1338</v>
      </c>
      <c r="C86" s="35" t="s">
        <v>3</v>
      </c>
      <c r="D86" s="41" t="s">
        <v>43</v>
      </c>
      <c r="E86" s="23">
        <v>1293</v>
      </c>
      <c r="F86" s="23">
        <v>120</v>
      </c>
      <c r="G86" s="23">
        <v>132</v>
      </c>
      <c r="H86" s="23">
        <v>132</v>
      </c>
      <c r="I86" s="23" t="s">
        <v>337</v>
      </c>
      <c r="K86" s="23" t="s">
        <v>337</v>
      </c>
      <c r="M86" s="23">
        <v>1</v>
      </c>
      <c r="N86" s="41" t="s">
        <v>1292</v>
      </c>
      <c r="O86" s="37"/>
      <c r="P86" s="35" t="s">
        <v>1337</v>
      </c>
    </row>
    <row r="87" spans="1:17" x14ac:dyDescent="0.45">
      <c r="A87" s="23">
        <v>74</v>
      </c>
      <c r="B87" s="23" t="s">
        <v>1340</v>
      </c>
      <c r="C87" s="41" t="s">
        <v>43</v>
      </c>
      <c r="D87" s="25" t="s">
        <v>8</v>
      </c>
      <c r="E87" s="23">
        <v>1293</v>
      </c>
      <c r="F87" s="23">
        <v>120</v>
      </c>
      <c r="G87" s="23">
        <v>132</v>
      </c>
      <c r="H87" s="23">
        <v>132</v>
      </c>
      <c r="I87" s="23" t="s">
        <v>337</v>
      </c>
      <c r="K87" s="23" t="s">
        <v>337</v>
      </c>
      <c r="L87" s="23">
        <v>7</v>
      </c>
      <c r="M87" s="23">
        <v>1</v>
      </c>
      <c r="N87" s="41" t="s">
        <v>1332</v>
      </c>
      <c r="O87" s="41"/>
      <c r="P87" s="25" t="s">
        <v>1339</v>
      </c>
    </row>
    <row r="88" spans="1:17" x14ac:dyDescent="0.45">
      <c r="A88" s="23">
        <v>75</v>
      </c>
      <c r="B88" s="23" t="s">
        <v>1334</v>
      </c>
      <c r="C88" s="35" t="s">
        <v>3</v>
      </c>
      <c r="D88" s="41" t="s">
        <v>43</v>
      </c>
      <c r="E88" s="23">
        <v>1897</v>
      </c>
      <c r="F88" s="23">
        <v>146</v>
      </c>
      <c r="G88" s="23">
        <v>164</v>
      </c>
      <c r="H88" s="23">
        <v>164</v>
      </c>
      <c r="I88" s="23" t="s">
        <v>337</v>
      </c>
      <c r="K88" s="23" t="s">
        <v>337</v>
      </c>
      <c r="M88" s="23">
        <v>1</v>
      </c>
      <c r="N88" s="41" t="s">
        <v>1330</v>
      </c>
      <c r="O88" s="41"/>
      <c r="P88" s="35" t="s">
        <v>1333</v>
      </c>
      <c r="Q88" s="41" t="s">
        <v>40</v>
      </c>
    </row>
    <row r="89" spans="1:17" x14ac:dyDescent="0.45">
      <c r="A89" s="23">
        <v>75</v>
      </c>
      <c r="B89" s="23" t="s">
        <v>1336</v>
      </c>
      <c r="C89" s="41" t="s">
        <v>43</v>
      </c>
      <c r="D89" s="25" t="s">
        <v>8</v>
      </c>
      <c r="E89" s="23">
        <v>1897</v>
      </c>
      <c r="F89" s="23">
        <v>146</v>
      </c>
      <c r="G89" s="23">
        <v>164</v>
      </c>
      <c r="H89" s="23">
        <v>164</v>
      </c>
      <c r="I89" s="23" t="s">
        <v>337</v>
      </c>
      <c r="M89" s="23">
        <v>1</v>
      </c>
      <c r="N89" s="41" t="s">
        <v>1332</v>
      </c>
      <c r="O89" s="41"/>
      <c r="P89" s="25" t="s">
        <v>1335</v>
      </c>
    </row>
    <row r="90" spans="1:17" x14ac:dyDescent="0.45">
      <c r="A90" s="23">
        <v>76</v>
      </c>
      <c r="B90" s="23" t="s">
        <v>81</v>
      </c>
      <c r="C90" s="35" t="s">
        <v>3</v>
      </c>
      <c r="D90" s="41" t="s">
        <v>43</v>
      </c>
      <c r="E90" s="23">
        <v>2949</v>
      </c>
      <c r="F90" s="23">
        <v>190</v>
      </c>
      <c r="G90" s="23">
        <v>211</v>
      </c>
      <c r="H90" s="23">
        <v>198</v>
      </c>
      <c r="I90" s="23" t="s">
        <v>337</v>
      </c>
      <c r="K90" s="23" t="s">
        <v>337</v>
      </c>
      <c r="M90" s="23">
        <v>1</v>
      </c>
      <c r="N90" s="41" t="s">
        <v>1330</v>
      </c>
      <c r="O90" s="35" t="s">
        <v>144</v>
      </c>
      <c r="P90" s="41" t="s">
        <v>1759</v>
      </c>
    </row>
    <row r="91" spans="1:17" x14ac:dyDescent="0.45">
      <c r="A91" s="23">
        <v>76</v>
      </c>
      <c r="B91" s="23" t="s">
        <v>221</v>
      </c>
      <c r="C91" s="41" t="s">
        <v>43</v>
      </c>
      <c r="D91" s="25" t="s">
        <v>8</v>
      </c>
      <c r="E91" s="23">
        <v>2949</v>
      </c>
      <c r="F91" s="23">
        <v>190</v>
      </c>
      <c r="G91" s="23">
        <v>211</v>
      </c>
      <c r="H91" s="23">
        <v>198</v>
      </c>
      <c r="I91" s="23" t="s">
        <v>337</v>
      </c>
      <c r="M91" s="23">
        <v>1</v>
      </c>
      <c r="N91" s="41" t="s">
        <v>1332</v>
      </c>
      <c r="O91" s="41"/>
      <c r="P91" s="41" t="s">
        <v>1331</v>
      </c>
    </row>
    <row r="92" spans="1:17" x14ac:dyDescent="0.45">
      <c r="A92" s="23">
        <v>77</v>
      </c>
      <c r="B92" s="23" t="s">
        <v>1329</v>
      </c>
      <c r="C92" s="33" t="s">
        <v>22</v>
      </c>
      <c r="D92" s="25"/>
      <c r="E92" s="23">
        <v>1697</v>
      </c>
      <c r="F92" s="23">
        <v>137</v>
      </c>
      <c r="G92" s="23">
        <v>170</v>
      </c>
      <c r="H92" s="23">
        <v>127</v>
      </c>
      <c r="I92" s="23" t="s">
        <v>337</v>
      </c>
      <c r="K92" s="23" t="s">
        <v>337</v>
      </c>
      <c r="L92" s="23">
        <v>5</v>
      </c>
      <c r="M92" s="23">
        <v>3</v>
      </c>
      <c r="N92" s="31" t="s">
        <v>455</v>
      </c>
      <c r="O92" s="41"/>
      <c r="P92" s="33" t="s">
        <v>1328</v>
      </c>
    </row>
    <row r="93" spans="1:17" x14ac:dyDescent="0.45">
      <c r="A93" s="23">
        <v>78</v>
      </c>
      <c r="B93" s="23" t="s">
        <v>271</v>
      </c>
      <c r="C93" s="33" t="s">
        <v>22</v>
      </c>
      <c r="E93" s="23">
        <v>2461</v>
      </c>
      <c r="F93" s="23">
        <v>163</v>
      </c>
      <c r="G93" s="23">
        <v>207</v>
      </c>
      <c r="H93" s="23">
        <v>162</v>
      </c>
      <c r="I93" s="23" t="s">
        <v>337</v>
      </c>
      <c r="K93" s="23" t="s">
        <v>337</v>
      </c>
      <c r="M93" s="23">
        <v>3</v>
      </c>
      <c r="N93" s="28" t="s">
        <v>1327</v>
      </c>
      <c r="O93" s="33" t="s">
        <v>138</v>
      </c>
      <c r="P93" s="33" t="s">
        <v>1326</v>
      </c>
    </row>
    <row r="94" spans="1:17" x14ac:dyDescent="0.45">
      <c r="A94" s="23">
        <v>79</v>
      </c>
      <c r="B94" s="23" t="s">
        <v>1325</v>
      </c>
      <c r="C94" s="39" t="s">
        <v>111</v>
      </c>
      <c r="D94" s="27" t="s">
        <v>18</v>
      </c>
      <c r="E94" s="23">
        <v>1226</v>
      </c>
      <c r="F94" s="23">
        <v>207</v>
      </c>
      <c r="G94" s="23">
        <v>109</v>
      </c>
      <c r="H94" s="23">
        <v>98</v>
      </c>
      <c r="K94" s="23" t="s">
        <v>337</v>
      </c>
      <c r="M94" s="23">
        <v>3</v>
      </c>
      <c r="N94" s="27" t="s">
        <v>760</v>
      </c>
      <c r="O94" s="28"/>
      <c r="P94" s="27" t="s">
        <v>1324</v>
      </c>
    </row>
    <row r="95" spans="1:17" x14ac:dyDescent="0.45">
      <c r="A95" s="23">
        <v>80</v>
      </c>
      <c r="B95" s="23" t="s">
        <v>190</v>
      </c>
      <c r="C95" s="39" t="s">
        <v>111</v>
      </c>
      <c r="D95" s="27" t="s">
        <v>18</v>
      </c>
      <c r="E95" s="23">
        <v>2545</v>
      </c>
      <c r="F95" s="23">
        <v>216</v>
      </c>
      <c r="G95" s="23">
        <v>177</v>
      </c>
      <c r="H95" s="23">
        <v>180</v>
      </c>
      <c r="K95" s="23" t="s">
        <v>337</v>
      </c>
      <c r="M95" s="23">
        <v>3</v>
      </c>
      <c r="N95" s="27" t="s">
        <v>760</v>
      </c>
      <c r="O95" s="27"/>
      <c r="P95" s="27" t="s">
        <v>1323</v>
      </c>
    </row>
    <row r="96" spans="1:17" x14ac:dyDescent="0.45">
      <c r="A96" s="23">
        <v>81</v>
      </c>
      <c r="B96" s="23" t="s">
        <v>1322</v>
      </c>
      <c r="C96" s="26" t="s">
        <v>4</v>
      </c>
      <c r="D96" s="25" t="s">
        <v>8</v>
      </c>
      <c r="E96" s="23">
        <v>1362</v>
      </c>
      <c r="F96" s="23">
        <v>93</v>
      </c>
      <c r="G96" s="23">
        <v>165</v>
      </c>
      <c r="H96" s="23">
        <v>121</v>
      </c>
      <c r="I96" s="23" t="s">
        <v>337</v>
      </c>
      <c r="J96" s="23" t="s">
        <v>337</v>
      </c>
      <c r="K96" s="23" t="s">
        <v>337</v>
      </c>
      <c r="M96" s="23">
        <v>3</v>
      </c>
      <c r="N96" s="25" t="s">
        <v>1321</v>
      </c>
      <c r="O96" s="27"/>
      <c r="P96" s="25" t="s">
        <v>3228</v>
      </c>
      <c r="Q96" s="31" t="s">
        <v>3338</v>
      </c>
    </row>
    <row r="97" spans="1:17" x14ac:dyDescent="0.45">
      <c r="A97" s="23">
        <v>82</v>
      </c>
      <c r="B97" s="23" t="s">
        <v>181</v>
      </c>
      <c r="C97" s="26" t="s">
        <v>4</v>
      </c>
      <c r="D97" s="25" t="s">
        <v>8</v>
      </c>
      <c r="E97" s="23">
        <v>2485</v>
      </c>
      <c r="F97" s="23">
        <v>137</v>
      </c>
      <c r="G97" s="23">
        <v>223</v>
      </c>
      <c r="H97" s="23">
        <v>169</v>
      </c>
      <c r="I97" s="23" t="s">
        <v>337</v>
      </c>
      <c r="J97" s="23" t="s">
        <v>337</v>
      </c>
      <c r="K97" s="23" t="s">
        <v>337</v>
      </c>
      <c r="M97" s="23">
        <v>3</v>
      </c>
      <c r="N97" s="25" t="s">
        <v>522</v>
      </c>
      <c r="O97" s="25" t="s">
        <v>115</v>
      </c>
      <c r="P97" s="25" t="s">
        <v>3229</v>
      </c>
      <c r="Q97" s="31" t="s">
        <v>3356</v>
      </c>
    </row>
    <row r="98" spans="1:17" x14ac:dyDescent="0.45">
      <c r="A98" s="23">
        <v>83</v>
      </c>
      <c r="B98" s="23" t="s">
        <v>1320</v>
      </c>
      <c r="C98" s="31" t="s">
        <v>68</v>
      </c>
      <c r="D98" s="38" t="s">
        <v>72</v>
      </c>
      <c r="E98" s="23">
        <v>1236</v>
      </c>
      <c r="F98" s="23">
        <v>141</v>
      </c>
      <c r="G98" s="23">
        <v>124</v>
      </c>
      <c r="H98" s="23">
        <v>115</v>
      </c>
      <c r="I98" s="23" t="s">
        <v>337</v>
      </c>
      <c r="K98" s="23" t="s">
        <v>337</v>
      </c>
      <c r="L98" s="23">
        <v>5</v>
      </c>
      <c r="M98" s="23">
        <v>3</v>
      </c>
      <c r="N98" s="38" t="s">
        <v>1237</v>
      </c>
      <c r="O98" s="31" t="s">
        <v>133</v>
      </c>
      <c r="P98" s="38" t="s">
        <v>1319</v>
      </c>
    </row>
    <row r="99" spans="1:17" x14ac:dyDescent="0.45">
      <c r="A99" s="23">
        <v>84</v>
      </c>
      <c r="B99" s="23" t="s">
        <v>1318</v>
      </c>
      <c r="C99" s="31" t="s">
        <v>68</v>
      </c>
      <c r="D99" s="38" t="s">
        <v>72</v>
      </c>
      <c r="E99" s="23">
        <v>1200</v>
      </c>
      <c r="F99" s="23">
        <v>111</v>
      </c>
      <c r="G99" s="23">
        <v>158</v>
      </c>
      <c r="H99" s="23">
        <v>83</v>
      </c>
      <c r="K99" s="23" t="s">
        <v>337</v>
      </c>
      <c r="M99" s="23">
        <v>3</v>
      </c>
      <c r="N99" s="38" t="s">
        <v>962</v>
      </c>
      <c r="O99" s="38"/>
      <c r="P99" s="38" t="s">
        <v>1316</v>
      </c>
    </row>
    <row r="100" spans="1:17" x14ac:dyDescent="0.45">
      <c r="A100" s="23">
        <v>85</v>
      </c>
      <c r="B100" s="23" t="s">
        <v>204</v>
      </c>
      <c r="C100" s="31" t="s">
        <v>68</v>
      </c>
      <c r="D100" s="38" t="s">
        <v>72</v>
      </c>
      <c r="E100" s="23">
        <v>2362</v>
      </c>
      <c r="F100" s="23">
        <v>155</v>
      </c>
      <c r="G100" s="23">
        <v>218</v>
      </c>
      <c r="H100" s="23">
        <v>140</v>
      </c>
      <c r="K100" s="23" t="s">
        <v>337</v>
      </c>
      <c r="M100" s="23">
        <v>3</v>
      </c>
      <c r="N100" s="29" t="s">
        <v>1317</v>
      </c>
      <c r="O100" s="38"/>
      <c r="P100" s="38" t="s">
        <v>1316</v>
      </c>
      <c r="Q100" s="38" t="s">
        <v>210</v>
      </c>
    </row>
    <row r="101" spans="1:17" x14ac:dyDescent="0.45">
      <c r="A101" s="23">
        <v>86</v>
      </c>
      <c r="B101" s="23" t="s">
        <v>1315</v>
      </c>
      <c r="C101" s="39" t="s">
        <v>111</v>
      </c>
      <c r="D101" s="38"/>
      <c r="E101" s="23">
        <v>971</v>
      </c>
      <c r="F101" s="23">
        <v>163</v>
      </c>
      <c r="G101" s="23">
        <v>85</v>
      </c>
      <c r="H101" s="23">
        <v>121</v>
      </c>
      <c r="I101" s="23" t="s">
        <v>337</v>
      </c>
      <c r="K101" s="23" t="s">
        <v>337</v>
      </c>
      <c r="M101" s="23">
        <v>3</v>
      </c>
      <c r="N101" s="42" t="s">
        <v>1314</v>
      </c>
      <c r="O101" s="39" t="s">
        <v>121</v>
      </c>
      <c r="P101" s="39" t="s">
        <v>1313</v>
      </c>
      <c r="Q101" s="39" t="s">
        <v>1519</v>
      </c>
    </row>
    <row r="102" spans="1:17" x14ac:dyDescent="0.45">
      <c r="A102" s="23">
        <v>87</v>
      </c>
      <c r="B102" s="23" t="s">
        <v>1312</v>
      </c>
      <c r="C102" s="39" t="s">
        <v>111</v>
      </c>
      <c r="D102" s="42" t="s">
        <v>62</v>
      </c>
      <c r="E102" s="23">
        <v>1985</v>
      </c>
      <c r="F102" s="23">
        <v>207</v>
      </c>
      <c r="G102" s="23">
        <v>139</v>
      </c>
      <c r="H102" s="23">
        <v>177</v>
      </c>
      <c r="I102" s="23" t="s">
        <v>337</v>
      </c>
      <c r="K102" s="23" t="s">
        <v>337</v>
      </c>
      <c r="M102" s="23">
        <v>3</v>
      </c>
      <c r="N102" s="26" t="s">
        <v>1311</v>
      </c>
      <c r="O102" s="42" t="s">
        <v>241</v>
      </c>
      <c r="P102" s="42" t="s">
        <v>1310</v>
      </c>
      <c r="Q102" s="39" t="s">
        <v>3357</v>
      </c>
    </row>
    <row r="103" spans="1:17" x14ac:dyDescent="0.45">
      <c r="A103" s="23">
        <v>88</v>
      </c>
      <c r="B103" s="23" t="s">
        <v>1307</v>
      </c>
      <c r="C103" s="37" t="s">
        <v>32</v>
      </c>
      <c r="D103" s="42"/>
      <c r="E103" s="23">
        <v>1374</v>
      </c>
      <c r="F103" s="23">
        <v>190</v>
      </c>
      <c r="G103" s="23">
        <v>135</v>
      </c>
      <c r="H103" s="23">
        <v>90</v>
      </c>
      <c r="I103" s="23" t="s">
        <v>337</v>
      </c>
      <c r="J103" s="23" t="s">
        <v>337</v>
      </c>
      <c r="K103" s="23" t="s">
        <v>337</v>
      </c>
      <c r="L103" s="23">
        <v>5</v>
      </c>
      <c r="M103" s="23">
        <v>3</v>
      </c>
      <c r="N103" s="37" t="s">
        <v>1306</v>
      </c>
      <c r="O103" s="37" t="s">
        <v>104</v>
      </c>
      <c r="P103" s="35" t="s">
        <v>3230</v>
      </c>
      <c r="Q103" s="31" t="s">
        <v>3338</v>
      </c>
    </row>
    <row r="104" spans="1:17" x14ac:dyDescent="0.45">
      <c r="A104" s="23">
        <v>88</v>
      </c>
      <c r="B104" s="23" t="s">
        <v>1309</v>
      </c>
      <c r="C104" s="37" t="s">
        <v>32</v>
      </c>
      <c r="D104" s="29" t="s">
        <v>78</v>
      </c>
      <c r="E104" s="23">
        <v>1374</v>
      </c>
      <c r="F104" s="23">
        <v>190</v>
      </c>
      <c r="G104" s="23">
        <v>135</v>
      </c>
      <c r="H104" s="23">
        <v>90</v>
      </c>
      <c r="I104" s="23" t="s">
        <v>337</v>
      </c>
      <c r="K104" s="23" t="s">
        <v>337</v>
      </c>
      <c r="L104" s="23">
        <v>7</v>
      </c>
      <c r="M104" s="23">
        <v>3</v>
      </c>
      <c r="N104" s="29" t="s">
        <v>587</v>
      </c>
      <c r="O104" s="37"/>
      <c r="P104" s="29" t="s">
        <v>1308</v>
      </c>
    </row>
    <row r="105" spans="1:17" x14ac:dyDescent="0.45">
      <c r="A105" s="23">
        <v>89</v>
      </c>
      <c r="B105" s="23" t="s">
        <v>243</v>
      </c>
      <c r="C105" s="37" t="s">
        <v>32</v>
      </c>
      <c r="D105" s="29"/>
      <c r="E105" s="23">
        <v>2757</v>
      </c>
      <c r="F105" s="23">
        <v>233</v>
      </c>
      <c r="G105" s="23">
        <v>190</v>
      </c>
      <c r="H105" s="23">
        <v>172</v>
      </c>
      <c r="I105" s="23" t="s">
        <v>337</v>
      </c>
      <c r="J105" s="23" t="s">
        <v>337</v>
      </c>
      <c r="K105" s="23" t="s">
        <v>337</v>
      </c>
      <c r="M105" s="23">
        <v>3</v>
      </c>
      <c r="N105" s="29" t="s">
        <v>3770</v>
      </c>
      <c r="O105" s="34" t="s">
        <v>3336</v>
      </c>
      <c r="P105" s="29" t="s">
        <v>3231</v>
      </c>
      <c r="Q105" s="31" t="s">
        <v>3338</v>
      </c>
    </row>
    <row r="106" spans="1:17" x14ac:dyDescent="0.45">
      <c r="A106" s="23">
        <v>89</v>
      </c>
      <c r="B106" s="23" t="s">
        <v>168</v>
      </c>
      <c r="C106" s="37" t="s">
        <v>32</v>
      </c>
      <c r="D106" s="29" t="s">
        <v>78</v>
      </c>
      <c r="E106" s="23">
        <v>2757</v>
      </c>
      <c r="F106" s="23">
        <v>233</v>
      </c>
      <c r="G106" s="23">
        <v>190</v>
      </c>
      <c r="H106" s="23">
        <v>172</v>
      </c>
      <c r="I106" s="23" t="s">
        <v>337</v>
      </c>
      <c r="M106" s="23">
        <v>3</v>
      </c>
      <c r="N106" s="29" t="s">
        <v>1304</v>
      </c>
      <c r="O106" s="37"/>
      <c r="P106" s="29" t="s">
        <v>1303</v>
      </c>
    </row>
    <row r="107" spans="1:17" x14ac:dyDescent="0.45">
      <c r="A107" s="23">
        <v>90</v>
      </c>
      <c r="B107" s="23" t="s">
        <v>1302</v>
      </c>
      <c r="C107" s="39" t="s">
        <v>111</v>
      </c>
      <c r="D107" s="29"/>
      <c r="E107" s="23">
        <v>1080</v>
      </c>
      <c r="F107" s="23">
        <v>102</v>
      </c>
      <c r="G107" s="23">
        <v>116</v>
      </c>
      <c r="H107" s="23">
        <v>134</v>
      </c>
      <c r="I107" s="23" t="s">
        <v>337</v>
      </c>
      <c r="K107" s="23" t="s">
        <v>337</v>
      </c>
      <c r="M107" s="23">
        <v>3</v>
      </c>
      <c r="N107" s="42" t="s">
        <v>1301</v>
      </c>
      <c r="O107" s="29"/>
      <c r="P107" s="42" t="s">
        <v>1300</v>
      </c>
    </row>
    <row r="108" spans="1:17" x14ac:dyDescent="0.45">
      <c r="A108" s="23">
        <v>91</v>
      </c>
      <c r="B108" s="23" t="s">
        <v>110</v>
      </c>
      <c r="C108" s="39" t="s">
        <v>111</v>
      </c>
      <c r="D108" s="42" t="s">
        <v>62</v>
      </c>
      <c r="E108" s="23">
        <v>2547</v>
      </c>
      <c r="F108" s="23">
        <v>137</v>
      </c>
      <c r="G108" s="23">
        <v>186</v>
      </c>
      <c r="H108" s="23">
        <v>256</v>
      </c>
      <c r="I108" s="23" t="s">
        <v>337</v>
      </c>
      <c r="K108" s="23" t="s">
        <v>337</v>
      </c>
      <c r="M108" s="23">
        <v>3</v>
      </c>
      <c r="N108" s="42" t="s">
        <v>506</v>
      </c>
      <c r="O108" s="42"/>
      <c r="P108" s="42" t="s">
        <v>1760</v>
      </c>
      <c r="Q108" s="42" t="s">
        <v>132</v>
      </c>
    </row>
    <row r="109" spans="1:17" x14ac:dyDescent="0.45">
      <c r="A109" s="23">
        <v>92</v>
      </c>
      <c r="B109" s="23" t="s">
        <v>1299</v>
      </c>
      <c r="C109" s="37" t="s">
        <v>32</v>
      </c>
      <c r="D109" s="34" t="s">
        <v>16</v>
      </c>
      <c r="E109" s="23">
        <v>1229</v>
      </c>
      <c r="F109" s="23">
        <v>102</v>
      </c>
      <c r="G109" s="23">
        <v>186</v>
      </c>
      <c r="H109" s="23">
        <v>67</v>
      </c>
      <c r="I109" s="23" t="s">
        <v>337</v>
      </c>
      <c r="K109" s="23" t="s">
        <v>337</v>
      </c>
      <c r="M109" s="23">
        <v>3</v>
      </c>
      <c r="N109" s="34" t="s">
        <v>1298</v>
      </c>
      <c r="O109" s="29" t="s">
        <v>266</v>
      </c>
      <c r="P109" s="29" t="s">
        <v>1297</v>
      </c>
      <c r="Q109" s="34" t="s">
        <v>1486</v>
      </c>
    </row>
    <row r="110" spans="1:17" x14ac:dyDescent="0.45">
      <c r="A110" s="23">
        <v>93</v>
      </c>
      <c r="B110" s="23" t="s">
        <v>16</v>
      </c>
      <c r="C110" s="37" t="s">
        <v>32</v>
      </c>
      <c r="D110" s="34" t="s">
        <v>16</v>
      </c>
      <c r="E110" s="23">
        <v>1963</v>
      </c>
      <c r="F110" s="23">
        <v>128</v>
      </c>
      <c r="G110" s="23">
        <v>223</v>
      </c>
      <c r="H110" s="23">
        <v>107</v>
      </c>
      <c r="I110" s="23" t="s">
        <v>337</v>
      </c>
      <c r="K110" s="23" t="s">
        <v>337</v>
      </c>
      <c r="M110" s="23">
        <v>3</v>
      </c>
      <c r="N110" s="34" t="s">
        <v>1296</v>
      </c>
      <c r="O110" s="34" t="s">
        <v>273</v>
      </c>
      <c r="P110" s="29" t="s">
        <v>1295</v>
      </c>
      <c r="Q110" s="34" t="s">
        <v>73</v>
      </c>
    </row>
    <row r="111" spans="1:17" x14ac:dyDescent="0.45">
      <c r="A111" s="23">
        <v>94</v>
      </c>
      <c r="B111" s="23" t="s">
        <v>244</v>
      </c>
      <c r="C111" s="37" t="s">
        <v>32</v>
      </c>
      <c r="D111" s="34" t="s">
        <v>16</v>
      </c>
      <c r="E111" s="23">
        <v>2878</v>
      </c>
      <c r="F111" s="23">
        <v>155</v>
      </c>
      <c r="G111" s="23">
        <v>261</v>
      </c>
      <c r="H111" s="23">
        <v>149</v>
      </c>
      <c r="I111" s="23" t="s">
        <v>337</v>
      </c>
      <c r="K111" s="23" t="s">
        <v>337</v>
      </c>
      <c r="M111" s="23">
        <v>3</v>
      </c>
      <c r="N111" s="34" t="s">
        <v>1749</v>
      </c>
      <c r="O111" s="34" t="s">
        <v>273</v>
      </c>
      <c r="P111" s="28" t="s">
        <v>1294</v>
      </c>
      <c r="Q111" s="29" t="s">
        <v>3358</v>
      </c>
    </row>
    <row r="112" spans="1:17" x14ac:dyDescent="0.45">
      <c r="A112" s="23">
        <v>95</v>
      </c>
      <c r="B112" s="23" t="s">
        <v>1293</v>
      </c>
      <c r="C112" s="35" t="s">
        <v>3</v>
      </c>
      <c r="D112" s="41" t="s">
        <v>43</v>
      </c>
      <c r="E112" s="23">
        <v>1101</v>
      </c>
      <c r="F112" s="23">
        <v>111</v>
      </c>
      <c r="G112" s="23">
        <v>85</v>
      </c>
      <c r="H112" s="23">
        <v>232</v>
      </c>
      <c r="I112" s="23" t="s">
        <v>337</v>
      </c>
      <c r="K112" s="23" t="s">
        <v>337</v>
      </c>
      <c r="M112" s="23">
        <v>5</v>
      </c>
      <c r="N112" s="41" t="s">
        <v>1292</v>
      </c>
      <c r="O112" s="34"/>
      <c r="P112" s="41" t="s">
        <v>1291</v>
      </c>
      <c r="Q112" s="26" t="s">
        <v>3359</v>
      </c>
    </row>
    <row r="113" spans="1:17" x14ac:dyDescent="0.45">
      <c r="A113" s="23">
        <v>96</v>
      </c>
      <c r="B113" s="23" t="s">
        <v>1290</v>
      </c>
      <c r="C113" s="27" t="s">
        <v>18</v>
      </c>
      <c r="D113" s="41"/>
      <c r="E113" s="23">
        <v>1040</v>
      </c>
      <c r="F113" s="23">
        <v>155</v>
      </c>
      <c r="G113" s="23">
        <v>89</v>
      </c>
      <c r="H113" s="23">
        <v>136</v>
      </c>
      <c r="I113" s="23" t="s">
        <v>337</v>
      </c>
      <c r="J113" s="23" t="s">
        <v>337</v>
      </c>
      <c r="K113" s="23" t="s">
        <v>337</v>
      </c>
      <c r="M113" s="23">
        <v>3</v>
      </c>
      <c r="N113" s="27" t="s">
        <v>577</v>
      </c>
      <c r="O113" s="41"/>
      <c r="P113" s="27" t="s">
        <v>576</v>
      </c>
      <c r="Q113" s="31" t="s">
        <v>3338</v>
      </c>
    </row>
    <row r="114" spans="1:17" x14ac:dyDescent="0.45">
      <c r="A114" s="23">
        <v>97</v>
      </c>
      <c r="B114" s="23" t="s">
        <v>143</v>
      </c>
      <c r="C114" s="27" t="s">
        <v>18</v>
      </c>
      <c r="E114" s="23">
        <v>2090</v>
      </c>
      <c r="F114" s="23">
        <v>198</v>
      </c>
      <c r="G114" s="23">
        <v>144</v>
      </c>
      <c r="H114" s="23">
        <v>193</v>
      </c>
      <c r="I114" s="23" t="s">
        <v>337</v>
      </c>
      <c r="J114" s="23" t="s">
        <v>337</v>
      </c>
      <c r="K114" s="23" t="s">
        <v>337</v>
      </c>
      <c r="M114" s="23">
        <v>3</v>
      </c>
      <c r="N114" s="27" t="s">
        <v>1113</v>
      </c>
      <c r="O114" s="27"/>
      <c r="P114" s="25" t="s">
        <v>3232</v>
      </c>
      <c r="Q114" s="31" t="s">
        <v>3360</v>
      </c>
    </row>
    <row r="115" spans="1:17" x14ac:dyDescent="0.45">
      <c r="A115" s="23">
        <v>98</v>
      </c>
      <c r="B115" s="23" t="s">
        <v>1289</v>
      </c>
      <c r="C115" s="39" t="s">
        <v>111</v>
      </c>
      <c r="E115" s="23">
        <v>1561</v>
      </c>
      <c r="F115" s="23">
        <v>102</v>
      </c>
      <c r="G115" s="23">
        <v>181</v>
      </c>
      <c r="H115" s="23">
        <v>124</v>
      </c>
      <c r="I115" s="23" t="s">
        <v>337</v>
      </c>
      <c r="K115" s="23" t="s">
        <v>337</v>
      </c>
      <c r="M115" s="23">
        <v>3</v>
      </c>
      <c r="N115" s="39" t="s">
        <v>1134</v>
      </c>
      <c r="O115" s="27"/>
      <c r="P115" s="31" t="s">
        <v>1288</v>
      </c>
    </row>
    <row r="116" spans="1:17" x14ac:dyDescent="0.45">
      <c r="A116" s="23">
        <v>99</v>
      </c>
      <c r="B116" s="23" t="s">
        <v>215</v>
      </c>
      <c r="C116" s="39" t="s">
        <v>111</v>
      </c>
      <c r="E116" s="23">
        <v>2829</v>
      </c>
      <c r="F116" s="23">
        <v>146</v>
      </c>
      <c r="G116" s="23">
        <v>240</v>
      </c>
      <c r="H116" s="23">
        <v>181</v>
      </c>
      <c r="I116" s="23" t="s">
        <v>337</v>
      </c>
      <c r="K116" s="23" t="s">
        <v>337</v>
      </c>
      <c r="M116" s="23">
        <v>3</v>
      </c>
      <c r="N116" s="39" t="s">
        <v>695</v>
      </c>
      <c r="O116" s="35" t="s">
        <v>144</v>
      </c>
      <c r="P116" s="39" t="s">
        <v>1287</v>
      </c>
    </row>
    <row r="117" spans="1:17" x14ac:dyDescent="0.45">
      <c r="A117" s="23">
        <v>100</v>
      </c>
      <c r="B117" s="23" t="s">
        <v>1286</v>
      </c>
      <c r="C117" s="25" t="s">
        <v>8</v>
      </c>
      <c r="E117" s="23">
        <v>1010</v>
      </c>
      <c r="F117" s="23">
        <v>120</v>
      </c>
      <c r="G117" s="23">
        <v>109</v>
      </c>
      <c r="H117" s="23">
        <v>111</v>
      </c>
      <c r="K117" s="23" t="s">
        <v>337</v>
      </c>
      <c r="M117" s="23">
        <v>3</v>
      </c>
      <c r="N117" s="25" t="s">
        <v>672</v>
      </c>
      <c r="O117" s="39"/>
      <c r="P117" s="25" t="s">
        <v>1285</v>
      </c>
      <c r="Q117" s="32" t="s">
        <v>1534</v>
      </c>
    </row>
    <row r="118" spans="1:17" x14ac:dyDescent="0.45">
      <c r="A118" s="23">
        <v>101</v>
      </c>
      <c r="B118" s="23" t="s">
        <v>1284</v>
      </c>
      <c r="C118" s="25" t="s">
        <v>8</v>
      </c>
      <c r="E118" s="23">
        <v>2099</v>
      </c>
      <c r="F118" s="23">
        <v>155</v>
      </c>
      <c r="G118" s="23">
        <v>173</v>
      </c>
      <c r="H118" s="23">
        <v>173</v>
      </c>
      <c r="K118" s="23" t="s">
        <v>337</v>
      </c>
      <c r="M118" s="23">
        <v>3</v>
      </c>
      <c r="N118" s="25" t="s">
        <v>630</v>
      </c>
      <c r="O118" s="31" t="s">
        <v>127</v>
      </c>
      <c r="P118" s="25" t="s">
        <v>1283</v>
      </c>
    </row>
    <row r="119" spans="1:17" x14ac:dyDescent="0.45">
      <c r="A119" s="23">
        <v>102</v>
      </c>
      <c r="B119" s="23" t="s">
        <v>1282</v>
      </c>
      <c r="C119" s="36" t="s">
        <v>12</v>
      </c>
      <c r="D119" s="27" t="s">
        <v>18</v>
      </c>
      <c r="E119" s="23">
        <v>1175</v>
      </c>
      <c r="F119" s="23">
        <v>155</v>
      </c>
      <c r="G119" s="23">
        <v>107</v>
      </c>
      <c r="H119" s="23">
        <v>125</v>
      </c>
      <c r="K119" s="23" t="s">
        <v>337</v>
      </c>
      <c r="M119" s="23">
        <v>3</v>
      </c>
      <c r="N119" s="36" t="s">
        <v>1281</v>
      </c>
      <c r="O119" s="25"/>
      <c r="P119" s="41" t="s">
        <v>1280</v>
      </c>
    </row>
    <row r="120" spans="1:17" x14ac:dyDescent="0.45">
      <c r="A120" s="23">
        <v>103</v>
      </c>
      <c r="B120" s="23" t="s">
        <v>86</v>
      </c>
      <c r="C120" s="36" t="s">
        <v>12</v>
      </c>
      <c r="D120" s="27" t="s">
        <v>18</v>
      </c>
      <c r="E120" s="23">
        <v>3014</v>
      </c>
      <c r="F120" s="23">
        <v>216</v>
      </c>
      <c r="G120" s="23">
        <v>233</v>
      </c>
      <c r="H120" s="23">
        <v>149</v>
      </c>
      <c r="K120" s="23" t="s">
        <v>337</v>
      </c>
      <c r="M120" s="23">
        <v>3</v>
      </c>
      <c r="N120" s="27" t="s">
        <v>1750</v>
      </c>
      <c r="O120" s="27" t="s">
        <v>95</v>
      </c>
      <c r="P120" s="27" t="s">
        <v>1279</v>
      </c>
    </row>
    <row r="121" spans="1:17" x14ac:dyDescent="0.45">
      <c r="A121" s="23">
        <v>103</v>
      </c>
      <c r="B121" s="23" t="s">
        <v>226</v>
      </c>
      <c r="C121" s="36" t="s">
        <v>12</v>
      </c>
      <c r="D121" s="30" t="s">
        <v>90</v>
      </c>
      <c r="E121" s="23">
        <v>3014</v>
      </c>
      <c r="F121" s="23">
        <v>216</v>
      </c>
      <c r="G121" s="23">
        <v>230</v>
      </c>
      <c r="H121" s="23">
        <v>153</v>
      </c>
      <c r="I121" s="23" t="s">
        <v>337</v>
      </c>
      <c r="K121" s="23" t="s">
        <v>337</v>
      </c>
      <c r="M121" s="23">
        <v>3</v>
      </c>
      <c r="N121" s="36" t="s">
        <v>1278</v>
      </c>
      <c r="O121" s="27"/>
      <c r="P121" s="36" t="s">
        <v>1277</v>
      </c>
    </row>
    <row r="122" spans="1:17" x14ac:dyDescent="0.45">
      <c r="A122" s="23">
        <v>104</v>
      </c>
      <c r="B122" s="23" t="s">
        <v>1276</v>
      </c>
      <c r="C122" s="35" t="s">
        <v>3</v>
      </c>
      <c r="D122" s="30"/>
      <c r="E122" s="23">
        <v>1019</v>
      </c>
      <c r="F122" s="23">
        <v>137</v>
      </c>
      <c r="G122" s="23">
        <v>90</v>
      </c>
      <c r="H122" s="23">
        <v>144</v>
      </c>
      <c r="I122" s="23" t="s">
        <v>337</v>
      </c>
      <c r="J122" s="23" t="s">
        <v>337</v>
      </c>
      <c r="K122" s="23" t="s">
        <v>337</v>
      </c>
      <c r="L122" s="23">
        <v>5</v>
      </c>
      <c r="M122" s="23">
        <v>3</v>
      </c>
      <c r="N122" s="28" t="s">
        <v>1261</v>
      </c>
      <c r="O122" s="36"/>
      <c r="P122" s="35" t="s">
        <v>3233</v>
      </c>
      <c r="Q122" s="31" t="s">
        <v>3338</v>
      </c>
    </row>
    <row r="123" spans="1:17" x14ac:dyDescent="0.45">
      <c r="A123" s="23">
        <v>105</v>
      </c>
      <c r="B123" s="23" t="s">
        <v>54</v>
      </c>
      <c r="C123" s="35" t="s">
        <v>3</v>
      </c>
      <c r="E123" s="23">
        <v>1835</v>
      </c>
      <c r="F123" s="23">
        <v>155</v>
      </c>
      <c r="G123" s="23">
        <v>144</v>
      </c>
      <c r="H123" s="23">
        <v>186</v>
      </c>
      <c r="I123" s="23" t="s">
        <v>337</v>
      </c>
      <c r="J123" s="23" t="s">
        <v>337</v>
      </c>
      <c r="K123" s="23" t="s">
        <v>337</v>
      </c>
      <c r="M123" s="23">
        <v>3</v>
      </c>
      <c r="N123" s="28" t="s">
        <v>1261</v>
      </c>
      <c r="O123" s="28"/>
      <c r="P123" s="35" t="s">
        <v>3234</v>
      </c>
      <c r="Q123" s="31" t="s">
        <v>3338</v>
      </c>
    </row>
    <row r="124" spans="1:17" x14ac:dyDescent="0.45">
      <c r="A124" s="23">
        <v>105</v>
      </c>
      <c r="B124" s="23" t="s">
        <v>1275</v>
      </c>
      <c r="C124" s="34" t="s">
        <v>16</v>
      </c>
      <c r="D124" s="33" t="s">
        <v>22</v>
      </c>
      <c r="E124" s="23">
        <v>1835</v>
      </c>
      <c r="F124" s="23">
        <v>155</v>
      </c>
      <c r="G124" s="23">
        <v>144</v>
      </c>
      <c r="H124" s="23">
        <v>186</v>
      </c>
      <c r="I124" s="23" t="s">
        <v>337</v>
      </c>
      <c r="M124" s="23">
        <v>3</v>
      </c>
      <c r="N124" s="28" t="s">
        <v>1274</v>
      </c>
      <c r="O124" s="28"/>
      <c r="P124" s="33" t="s">
        <v>1273</v>
      </c>
    </row>
    <row r="125" spans="1:17" x14ac:dyDescent="0.45">
      <c r="A125" s="23">
        <v>106</v>
      </c>
      <c r="B125" s="23" t="s">
        <v>117</v>
      </c>
      <c r="C125" s="28" t="s">
        <v>47</v>
      </c>
      <c r="D125" s="33"/>
      <c r="E125" s="23">
        <v>2576</v>
      </c>
      <c r="F125" s="23">
        <v>137</v>
      </c>
      <c r="G125" s="23">
        <v>224</v>
      </c>
      <c r="H125" s="23">
        <v>181</v>
      </c>
      <c r="J125" s="23" t="s">
        <v>337</v>
      </c>
      <c r="K125" s="23" t="s">
        <v>337</v>
      </c>
      <c r="M125" s="23">
        <v>5</v>
      </c>
      <c r="N125" s="28" t="s">
        <v>1272</v>
      </c>
      <c r="O125" s="28"/>
      <c r="P125" s="28" t="s">
        <v>3235</v>
      </c>
      <c r="Q125" s="31" t="s">
        <v>3361</v>
      </c>
    </row>
    <row r="126" spans="1:17" x14ac:dyDescent="0.45">
      <c r="A126" s="23">
        <v>107</v>
      </c>
      <c r="B126" s="23" t="s">
        <v>46</v>
      </c>
      <c r="C126" s="28" t="s">
        <v>47</v>
      </c>
      <c r="E126" s="23">
        <v>2332</v>
      </c>
      <c r="F126" s="23">
        <v>137</v>
      </c>
      <c r="G126" s="23">
        <v>193</v>
      </c>
      <c r="H126" s="23">
        <v>197</v>
      </c>
      <c r="J126" s="23" t="s">
        <v>337</v>
      </c>
      <c r="K126" s="23" t="s">
        <v>337</v>
      </c>
      <c r="M126" s="23">
        <v>5</v>
      </c>
      <c r="N126" s="28" t="s">
        <v>553</v>
      </c>
      <c r="O126" s="28" t="s">
        <v>53</v>
      </c>
      <c r="P126" s="28" t="s">
        <v>3236</v>
      </c>
      <c r="Q126" s="31" t="s">
        <v>3362</v>
      </c>
    </row>
    <row r="127" spans="1:17" x14ac:dyDescent="0.45">
      <c r="A127" s="23">
        <v>108</v>
      </c>
      <c r="B127" s="23" t="s">
        <v>1271</v>
      </c>
      <c r="C127" s="31" t="s">
        <v>68</v>
      </c>
      <c r="E127" s="23">
        <v>1411</v>
      </c>
      <c r="F127" s="23">
        <v>207</v>
      </c>
      <c r="G127" s="23">
        <v>108</v>
      </c>
      <c r="H127" s="23">
        <v>137</v>
      </c>
      <c r="K127" s="23" t="s">
        <v>337</v>
      </c>
      <c r="M127" s="23">
        <v>3</v>
      </c>
      <c r="N127" s="34" t="s">
        <v>520</v>
      </c>
      <c r="O127" s="28"/>
      <c r="P127" s="31" t="s">
        <v>1270</v>
      </c>
    </row>
    <row r="128" spans="1:17" x14ac:dyDescent="0.45">
      <c r="A128" s="23">
        <v>109</v>
      </c>
      <c r="B128" s="23" t="s">
        <v>1269</v>
      </c>
      <c r="C128" s="37" t="s">
        <v>32</v>
      </c>
      <c r="E128" s="23">
        <v>1214</v>
      </c>
      <c r="F128" s="23">
        <v>120</v>
      </c>
      <c r="G128" s="23">
        <v>119</v>
      </c>
      <c r="H128" s="23">
        <v>141</v>
      </c>
      <c r="I128" s="23" t="s">
        <v>337</v>
      </c>
      <c r="K128" s="23" t="s">
        <v>337</v>
      </c>
      <c r="M128" s="23">
        <v>3</v>
      </c>
      <c r="N128" s="31" t="s">
        <v>1265</v>
      </c>
      <c r="O128" s="37" t="s">
        <v>104</v>
      </c>
      <c r="P128" s="29" t="s">
        <v>1268</v>
      </c>
    </row>
    <row r="129" spans="1:17" x14ac:dyDescent="0.45">
      <c r="A129" s="23">
        <v>110</v>
      </c>
      <c r="B129" s="23" t="s">
        <v>183</v>
      </c>
      <c r="C129" s="37" t="s">
        <v>32</v>
      </c>
      <c r="E129" s="23">
        <v>2293</v>
      </c>
      <c r="F129" s="23">
        <v>163</v>
      </c>
      <c r="G129" s="23">
        <v>174</v>
      </c>
      <c r="H129" s="23">
        <v>197</v>
      </c>
      <c r="I129" s="23" t="s">
        <v>337</v>
      </c>
      <c r="K129" s="23" t="s">
        <v>337</v>
      </c>
      <c r="M129" s="23">
        <v>3</v>
      </c>
      <c r="N129" s="31" t="s">
        <v>1265</v>
      </c>
      <c r="O129" s="37" t="s">
        <v>104</v>
      </c>
      <c r="P129" s="25" t="s">
        <v>1264</v>
      </c>
    </row>
    <row r="130" spans="1:17" x14ac:dyDescent="0.45">
      <c r="A130" s="23">
        <v>110</v>
      </c>
      <c r="B130" s="23" t="s">
        <v>1267</v>
      </c>
      <c r="C130" s="37" t="s">
        <v>32</v>
      </c>
      <c r="D130" s="40" t="s">
        <v>61</v>
      </c>
      <c r="E130" s="23">
        <v>2293</v>
      </c>
      <c r="F130" s="23">
        <v>163</v>
      </c>
      <c r="G130" s="23">
        <v>174</v>
      </c>
      <c r="H130" s="23">
        <v>197</v>
      </c>
      <c r="M130" s="23">
        <v>3</v>
      </c>
      <c r="N130" s="31" t="s">
        <v>127</v>
      </c>
      <c r="O130" s="31"/>
      <c r="P130" s="33" t="s">
        <v>1266</v>
      </c>
    </row>
    <row r="131" spans="1:17" x14ac:dyDescent="0.45">
      <c r="A131" s="23">
        <v>111</v>
      </c>
      <c r="B131" s="23" t="s">
        <v>1263</v>
      </c>
      <c r="C131" s="35" t="s">
        <v>3</v>
      </c>
      <c r="D131" s="41" t="s">
        <v>43</v>
      </c>
      <c r="E131" s="23">
        <v>1651</v>
      </c>
      <c r="F131" s="23">
        <v>190</v>
      </c>
      <c r="G131" s="23">
        <v>140</v>
      </c>
      <c r="H131" s="23">
        <v>127</v>
      </c>
      <c r="K131" s="23" t="s">
        <v>337</v>
      </c>
      <c r="M131" s="23">
        <v>3</v>
      </c>
      <c r="N131" s="28" t="s">
        <v>1261</v>
      </c>
      <c r="O131" s="31"/>
      <c r="P131" s="35" t="s">
        <v>1262</v>
      </c>
    </row>
    <row r="132" spans="1:17" x14ac:dyDescent="0.45">
      <c r="A132" s="23">
        <v>112</v>
      </c>
      <c r="B132" s="23" t="s">
        <v>297</v>
      </c>
      <c r="C132" s="35" t="s">
        <v>3</v>
      </c>
      <c r="D132" s="41" t="s">
        <v>43</v>
      </c>
      <c r="E132" s="23">
        <v>3179</v>
      </c>
      <c r="F132" s="23">
        <v>233</v>
      </c>
      <c r="G132" s="23">
        <v>222</v>
      </c>
      <c r="H132" s="23">
        <v>171</v>
      </c>
      <c r="K132" s="23" t="s">
        <v>337</v>
      </c>
      <c r="M132" s="23">
        <v>3</v>
      </c>
      <c r="N132" s="28" t="s">
        <v>1261</v>
      </c>
      <c r="O132" s="28"/>
      <c r="P132" s="35" t="s">
        <v>1260</v>
      </c>
      <c r="Q132" s="32" t="s">
        <v>97</v>
      </c>
    </row>
    <row r="133" spans="1:17" x14ac:dyDescent="0.45">
      <c r="A133" s="23">
        <v>113</v>
      </c>
      <c r="B133" s="23" t="s">
        <v>1259</v>
      </c>
      <c r="C133" s="31" t="s">
        <v>68</v>
      </c>
      <c r="D133" s="41"/>
      <c r="E133" s="23">
        <v>1255</v>
      </c>
      <c r="F133" s="23">
        <v>487</v>
      </c>
      <c r="G133" s="23">
        <v>60</v>
      </c>
      <c r="H133" s="23">
        <v>128</v>
      </c>
      <c r="K133" s="23" t="s">
        <v>337</v>
      </c>
      <c r="M133" s="23">
        <v>5</v>
      </c>
      <c r="N133" s="27" t="s">
        <v>574</v>
      </c>
      <c r="O133" s="28"/>
      <c r="P133" s="27" t="s">
        <v>1008</v>
      </c>
      <c r="Q133" s="27" t="s">
        <v>1516</v>
      </c>
    </row>
    <row r="134" spans="1:17" x14ac:dyDescent="0.45">
      <c r="A134" s="23">
        <v>114</v>
      </c>
      <c r="B134" s="23" t="s">
        <v>11</v>
      </c>
      <c r="C134" s="36" t="s">
        <v>12</v>
      </c>
      <c r="E134" s="23">
        <v>2238</v>
      </c>
      <c r="F134" s="23">
        <v>163</v>
      </c>
      <c r="G134" s="23">
        <v>183</v>
      </c>
      <c r="H134" s="23">
        <v>169</v>
      </c>
      <c r="K134" s="23" t="s">
        <v>337</v>
      </c>
      <c r="M134" s="23">
        <v>3</v>
      </c>
      <c r="N134" s="36" t="s">
        <v>517</v>
      </c>
      <c r="O134" s="27"/>
      <c r="P134" s="36" t="s">
        <v>1258</v>
      </c>
      <c r="Q134" s="36" t="s">
        <v>1485</v>
      </c>
    </row>
    <row r="135" spans="1:17" x14ac:dyDescent="0.45">
      <c r="A135" s="23">
        <v>115</v>
      </c>
      <c r="B135" s="23" t="s">
        <v>123</v>
      </c>
      <c r="C135" s="31" t="s">
        <v>68</v>
      </c>
      <c r="E135" s="23">
        <v>2586</v>
      </c>
      <c r="F135" s="23">
        <v>233</v>
      </c>
      <c r="G135" s="23">
        <v>181</v>
      </c>
      <c r="H135" s="23">
        <v>165</v>
      </c>
      <c r="I135" s="23" t="s">
        <v>337</v>
      </c>
      <c r="K135" s="23" t="s">
        <v>337</v>
      </c>
      <c r="L135" s="23">
        <v>5</v>
      </c>
      <c r="M135" s="23">
        <v>3</v>
      </c>
      <c r="N135" s="28" t="s">
        <v>1257</v>
      </c>
      <c r="O135" s="36"/>
      <c r="P135" s="29" t="s">
        <v>1256</v>
      </c>
      <c r="Q135" s="28" t="s">
        <v>3363</v>
      </c>
    </row>
    <row r="136" spans="1:17" x14ac:dyDescent="0.45">
      <c r="A136" s="23">
        <v>116</v>
      </c>
      <c r="B136" s="23" t="s">
        <v>1255</v>
      </c>
      <c r="C136" s="39" t="s">
        <v>111</v>
      </c>
      <c r="E136" s="23">
        <v>1056</v>
      </c>
      <c r="F136" s="23">
        <v>102</v>
      </c>
      <c r="G136" s="23">
        <v>129</v>
      </c>
      <c r="H136" s="23">
        <v>103</v>
      </c>
      <c r="I136" s="23" t="s">
        <v>337</v>
      </c>
      <c r="K136" s="23" t="s">
        <v>337</v>
      </c>
      <c r="M136" s="23">
        <v>3</v>
      </c>
      <c r="N136" s="39" t="s">
        <v>1254</v>
      </c>
      <c r="O136" s="28"/>
      <c r="P136" s="39" t="s">
        <v>1253</v>
      </c>
    </row>
    <row r="137" spans="1:17" x14ac:dyDescent="0.45">
      <c r="A137" s="23">
        <v>117</v>
      </c>
      <c r="B137" s="23" t="s">
        <v>1252</v>
      </c>
      <c r="C137" s="39" t="s">
        <v>111</v>
      </c>
      <c r="E137" s="23">
        <v>2093</v>
      </c>
      <c r="F137" s="23">
        <v>146</v>
      </c>
      <c r="G137" s="23">
        <v>187</v>
      </c>
      <c r="H137" s="23">
        <v>156</v>
      </c>
      <c r="I137" s="23" t="s">
        <v>337</v>
      </c>
      <c r="K137" s="23" t="s">
        <v>337</v>
      </c>
      <c r="M137" s="23">
        <v>3</v>
      </c>
      <c r="N137" s="39" t="s">
        <v>1251</v>
      </c>
      <c r="O137" s="39"/>
      <c r="P137" s="42" t="s">
        <v>1250</v>
      </c>
      <c r="Q137" s="42" t="s">
        <v>132</v>
      </c>
    </row>
    <row r="138" spans="1:17" x14ac:dyDescent="0.45">
      <c r="A138" s="23">
        <v>118</v>
      </c>
      <c r="B138" s="23" t="s">
        <v>1249</v>
      </c>
      <c r="C138" s="39" t="s">
        <v>111</v>
      </c>
      <c r="E138" s="23">
        <v>1152</v>
      </c>
      <c r="F138" s="23">
        <v>128</v>
      </c>
      <c r="G138" s="23">
        <v>123</v>
      </c>
      <c r="H138" s="23">
        <v>110</v>
      </c>
      <c r="K138" s="23" t="s">
        <v>337</v>
      </c>
      <c r="M138" s="23">
        <v>3</v>
      </c>
      <c r="N138" s="38" t="s">
        <v>1248</v>
      </c>
      <c r="O138" s="39"/>
      <c r="P138" s="39" t="s">
        <v>1247</v>
      </c>
    </row>
    <row r="139" spans="1:17" x14ac:dyDescent="0.45">
      <c r="A139" s="23">
        <v>119</v>
      </c>
      <c r="B139" s="23" t="s">
        <v>1246</v>
      </c>
      <c r="C139" s="39" t="s">
        <v>111</v>
      </c>
      <c r="E139" s="23">
        <v>2162</v>
      </c>
      <c r="F139" s="23">
        <v>190</v>
      </c>
      <c r="G139" s="23">
        <v>175</v>
      </c>
      <c r="H139" s="23">
        <v>147</v>
      </c>
      <c r="K139" s="23" t="s">
        <v>337</v>
      </c>
      <c r="M139" s="23">
        <v>3</v>
      </c>
      <c r="N139" s="39" t="s">
        <v>1245</v>
      </c>
      <c r="O139" s="37" t="s">
        <v>171</v>
      </c>
      <c r="P139" s="39" t="s">
        <v>1244</v>
      </c>
      <c r="Q139" s="42" t="s">
        <v>3364</v>
      </c>
    </row>
    <row r="140" spans="1:17" x14ac:dyDescent="0.45">
      <c r="A140" s="23">
        <v>120</v>
      </c>
      <c r="B140" s="23" t="s">
        <v>1243</v>
      </c>
      <c r="C140" s="39" t="s">
        <v>111</v>
      </c>
      <c r="E140" s="23">
        <v>1157</v>
      </c>
      <c r="F140" s="23">
        <v>102</v>
      </c>
      <c r="G140" s="23">
        <v>137</v>
      </c>
      <c r="H140" s="23">
        <v>112</v>
      </c>
      <c r="K140" s="23" t="s">
        <v>337</v>
      </c>
      <c r="M140" s="23">
        <v>3</v>
      </c>
      <c r="N140" s="31" t="s">
        <v>450</v>
      </c>
      <c r="O140" s="31" t="s">
        <v>291</v>
      </c>
      <c r="P140" s="31" t="s">
        <v>1242</v>
      </c>
    </row>
    <row r="141" spans="1:17" x14ac:dyDescent="0.45">
      <c r="A141" s="23">
        <v>121</v>
      </c>
      <c r="B141" s="23" t="s">
        <v>224</v>
      </c>
      <c r="C141" s="39" t="s">
        <v>111</v>
      </c>
      <c r="D141" s="27" t="s">
        <v>18</v>
      </c>
      <c r="E141" s="23">
        <v>2584</v>
      </c>
      <c r="F141" s="23">
        <v>155</v>
      </c>
      <c r="G141" s="23">
        <v>210</v>
      </c>
      <c r="H141" s="23">
        <v>184</v>
      </c>
      <c r="K141" s="23" t="s">
        <v>337</v>
      </c>
      <c r="M141" s="23">
        <v>3</v>
      </c>
      <c r="N141" s="39" t="s">
        <v>1241</v>
      </c>
      <c r="O141" s="31" t="s">
        <v>689</v>
      </c>
      <c r="P141" s="25" t="s">
        <v>1240</v>
      </c>
      <c r="Q141" s="27" t="s">
        <v>1516</v>
      </c>
    </row>
    <row r="142" spans="1:17" x14ac:dyDescent="0.45">
      <c r="A142" s="23">
        <v>122</v>
      </c>
      <c r="B142" s="23" t="s">
        <v>1239</v>
      </c>
      <c r="C142" s="27" t="s">
        <v>18</v>
      </c>
      <c r="D142" s="40" t="s">
        <v>61</v>
      </c>
      <c r="E142" s="23">
        <v>2228</v>
      </c>
      <c r="F142" s="23">
        <v>120</v>
      </c>
      <c r="G142" s="23">
        <v>192</v>
      </c>
      <c r="H142" s="23">
        <v>205</v>
      </c>
      <c r="I142" s="23" t="s">
        <v>337</v>
      </c>
      <c r="K142" s="23" t="s">
        <v>337</v>
      </c>
      <c r="M142" s="23">
        <v>5</v>
      </c>
      <c r="N142" s="27" t="s">
        <v>1113</v>
      </c>
      <c r="O142" s="39"/>
      <c r="P142" s="27" t="s">
        <v>1238</v>
      </c>
    </row>
    <row r="143" spans="1:17" x14ac:dyDescent="0.45">
      <c r="A143" s="23">
        <v>123</v>
      </c>
      <c r="B143" s="23" t="s">
        <v>159</v>
      </c>
      <c r="C143" s="38" t="s">
        <v>72</v>
      </c>
      <c r="D143" s="32" t="s">
        <v>29</v>
      </c>
      <c r="E143" s="23">
        <v>2706</v>
      </c>
      <c r="F143" s="23">
        <v>172</v>
      </c>
      <c r="G143" s="23">
        <v>218</v>
      </c>
      <c r="H143" s="23">
        <v>170</v>
      </c>
      <c r="I143" s="23" t="s">
        <v>337</v>
      </c>
      <c r="J143" s="23" t="s">
        <v>337</v>
      </c>
      <c r="K143" s="23" t="s">
        <v>337</v>
      </c>
      <c r="L143" s="23">
        <v>5</v>
      </c>
      <c r="M143" s="23">
        <v>5</v>
      </c>
      <c r="N143" s="38" t="s">
        <v>1237</v>
      </c>
      <c r="O143" s="26" t="s">
        <v>185</v>
      </c>
      <c r="P143" s="32" t="s">
        <v>3237</v>
      </c>
      <c r="Q143" s="31" t="s">
        <v>3365</v>
      </c>
    </row>
    <row r="144" spans="1:17" x14ac:dyDescent="0.45">
      <c r="A144" s="23">
        <v>124</v>
      </c>
      <c r="B144" s="23" t="s">
        <v>119</v>
      </c>
      <c r="C144" s="42" t="s">
        <v>62</v>
      </c>
      <c r="D144" s="27" t="s">
        <v>18</v>
      </c>
      <c r="E144" s="23">
        <v>2555</v>
      </c>
      <c r="F144" s="23">
        <v>163</v>
      </c>
      <c r="G144" s="23">
        <v>223</v>
      </c>
      <c r="H144" s="23">
        <v>151</v>
      </c>
      <c r="I144" s="23" t="s">
        <v>337</v>
      </c>
      <c r="K144" s="23" t="s">
        <v>337</v>
      </c>
      <c r="M144" s="23">
        <v>5</v>
      </c>
      <c r="N144" s="42" t="s">
        <v>1236</v>
      </c>
      <c r="O144" s="31" t="s">
        <v>288</v>
      </c>
      <c r="P144" s="28" t="s">
        <v>1235</v>
      </c>
      <c r="Q144" s="42" t="s">
        <v>114</v>
      </c>
    </row>
    <row r="145" spans="1:17" x14ac:dyDescent="0.45">
      <c r="A145" s="23">
        <v>125</v>
      </c>
      <c r="B145" s="23" t="s">
        <v>1234</v>
      </c>
      <c r="C145" s="25" t="s">
        <v>8</v>
      </c>
      <c r="D145" s="27"/>
      <c r="E145" s="23">
        <v>2334</v>
      </c>
      <c r="F145" s="23">
        <v>163</v>
      </c>
      <c r="G145" s="23">
        <v>198</v>
      </c>
      <c r="H145" s="23">
        <v>158</v>
      </c>
      <c r="I145" s="23" t="s">
        <v>337</v>
      </c>
      <c r="J145" s="23" t="s">
        <v>337</v>
      </c>
      <c r="K145" s="23" t="s">
        <v>337</v>
      </c>
      <c r="M145" s="23">
        <v>5</v>
      </c>
      <c r="N145" s="28" t="s">
        <v>516</v>
      </c>
      <c r="O145" s="42"/>
      <c r="P145" s="25" t="s">
        <v>629</v>
      </c>
      <c r="Q145" s="31" t="s">
        <v>3338</v>
      </c>
    </row>
    <row r="146" spans="1:17" x14ac:dyDescent="0.45">
      <c r="A146" s="23">
        <v>126</v>
      </c>
      <c r="B146" s="23" t="s">
        <v>1233</v>
      </c>
      <c r="C146" s="33" t="s">
        <v>22</v>
      </c>
      <c r="E146" s="23">
        <v>2394</v>
      </c>
      <c r="F146" s="23">
        <v>163</v>
      </c>
      <c r="G146" s="23">
        <v>206</v>
      </c>
      <c r="H146" s="23">
        <v>154</v>
      </c>
      <c r="I146" s="23" t="s">
        <v>337</v>
      </c>
      <c r="J146" s="23" t="s">
        <v>337</v>
      </c>
      <c r="K146" s="23" t="s">
        <v>337</v>
      </c>
      <c r="M146" s="23">
        <v>5</v>
      </c>
      <c r="N146" s="28" t="s">
        <v>1031</v>
      </c>
      <c r="O146" s="28"/>
      <c r="P146" s="33" t="s">
        <v>3238</v>
      </c>
      <c r="Q146" s="31" t="s">
        <v>3338</v>
      </c>
    </row>
    <row r="147" spans="1:17" x14ac:dyDescent="0.45">
      <c r="A147" s="23">
        <v>127</v>
      </c>
      <c r="B147" s="23" t="s">
        <v>260</v>
      </c>
      <c r="C147" s="32" t="s">
        <v>29</v>
      </c>
      <c r="E147" s="23">
        <v>2959</v>
      </c>
      <c r="F147" s="23">
        <v>163</v>
      </c>
      <c r="G147" s="23">
        <v>238</v>
      </c>
      <c r="H147" s="23">
        <v>182</v>
      </c>
      <c r="I147" s="23" t="s">
        <v>337</v>
      </c>
      <c r="K147" s="23" t="s">
        <v>337</v>
      </c>
      <c r="L147" s="23">
        <v>5</v>
      </c>
      <c r="M147" s="23">
        <v>5</v>
      </c>
      <c r="N147" s="28" t="s">
        <v>1751</v>
      </c>
      <c r="O147" s="28"/>
      <c r="P147" s="28" t="s">
        <v>1782</v>
      </c>
      <c r="Q147" s="28" t="s">
        <v>1539</v>
      </c>
    </row>
    <row r="148" spans="1:17" x14ac:dyDescent="0.45">
      <c r="A148" s="23">
        <v>128</v>
      </c>
      <c r="B148" s="23" t="s">
        <v>131</v>
      </c>
      <c r="C148" s="31" t="s">
        <v>68</v>
      </c>
      <c r="E148" s="23">
        <v>2620</v>
      </c>
      <c r="F148" s="23">
        <v>181</v>
      </c>
      <c r="G148" s="23">
        <v>198</v>
      </c>
      <c r="H148" s="23">
        <v>183</v>
      </c>
      <c r="I148" s="23" t="s">
        <v>337</v>
      </c>
      <c r="K148" s="23" t="s">
        <v>337</v>
      </c>
      <c r="L148" s="23">
        <v>5</v>
      </c>
      <c r="M148" s="23">
        <v>3</v>
      </c>
      <c r="N148" s="27" t="s">
        <v>1029</v>
      </c>
      <c r="O148" s="28"/>
      <c r="P148" s="26" t="s">
        <v>1232</v>
      </c>
    </row>
    <row r="149" spans="1:17" x14ac:dyDescent="0.45">
      <c r="A149" s="23">
        <v>129</v>
      </c>
      <c r="B149" s="23" t="s">
        <v>1231</v>
      </c>
      <c r="C149" s="39" t="s">
        <v>111</v>
      </c>
      <c r="E149" s="23">
        <v>274</v>
      </c>
      <c r="F149" s="23">
        <v>85</v>
      </c>
      <c r="G149" s="23">
        <v>29</v>
      </c>
      <c r="H149" s="23">
        <v>85</v>
      </c>
      <c r="I149" s="23" t="s">
        <v>337</v>
      </c>
      <c r="J149" s="23" t="s">
        <v>337</v>
      </c>
      <c r="K149" s="23" t="s">
        <v>337</v>
      </c>
      <c r="L149" s="23">
        <v>2</v>
      </c>
      <c r="M149" s="23">
        <v>1</v>
      </c>
      <c r="N149" s="39" t="s">
        <v>1230</v>
      </c>
      <c r="O149" s="27"/>
      <c r="P149" s="31" t="s">
        <v>645</v>
      </c>
      <c r="Q149" s="31" t="s">
        <v>3338</v>
      </c>
    </row>
    <row r="150" spans="1:17" x14ac:dyDescent="0.45">
      <c r="A150" s="23">
        <v>130</v>
      </c>
      <c r="B150" s="23" t="s">
        <v>233</v>
      </c>
      <c r="C150" s="38" t="s">
        <v>72</v>
      </c>
      <c r="D150" s="39" t="s">
        <v>111</v>
      </c>
      <c r="E150" s="23">
        <v>3391</v>
      </c>
      <c r="F150" s="23">
        <v>216</v>
      </c>
      <c r="G150" s="23">
        <v>237</v>
      </c>
      <c r="H150" s="23">
        <v>186</v>
      </c>
      <c r="I150" s="23" t="s">
        <v>337</v>
      </c>
      <c r="J150" s="23" t="s">
        <v>337</v>
      </c>
      <c r="K150" s="23" t="s">
        <v>337</v>
      </c>
      <c r="M150" s="23">
        <v>1</v>
      </c>
      <c r="N150" s="29" t="s">
        <v>1752</v>
      </c>
      <c r="O150" s="30" t="s">
        <v>88</v>
      </c>
      <c r="P150" s="29" t="s">
        <v>3239</v>
      </c>
      <c r="Q150" s="31" t="s">
        <v>3366</v>
      </c>
    </row>
    <row r="151" spans="1:17" x14ac:dyDescent="0.45">
      <c r="A151" s="23">
        <v>131</v>
      </c>
      <c r="B151" s="23" t="s">
        <v>136</v>
      </c>
      <c r="C151" s="39" t="s">
        <v>111</v>
      </c>
      <c r="D151" s="42" t="s">
        <v>62</v>
      </c>
      <c r="E151" s="23">
        <v>2641</v>
      </c>
      <c r="F151" s="23">
        <v>277</v>
      </c>
      <c r="G151" s="23">
        <v>165</v>
      </c>
      <c r="H151" s="23">
        <v>174</v>
      </c>
      <c r="I151" s="23" t="s">
        <v>337</v>
      </c>
      <c r="J151" s="23" t="s">
        <v>337</v>
      </c>
      <c r="K151" s="23" t="s">
        <v>337</v>
      </c>
      <c r="M151" s="23">
        <v>5</v>
      </c>
      <c r="N151" s="42" t="s">
        <v>1229</v>
      </c>
      <c r="O151" s="42" t="s">
        <v>241</v>
      </c>
      <c r="P151" s="39" t="s">
        <v>3240</v>
      </c>
      <c r="Q151" s="31" t="s">
        <v>3367</v>
      </c>
    </row>
    <row r="152" spans="1:17" x14ac:dyDescent="0.45">
      <c r="A152" s="23">
        <v>132</v>
      </c>
      <c r="B152" s="23" t="s">
        <v>1228</v>
      </c>
      <c r="C152" s="31" t="s">
        <v>68</v>
      </c>
      <c r="D152" s="42"/>
      <c r="E152" s="23">
        <v>832</v>
      </c>
      <c r="F152" s="23">
        <v>134</v>
      </c>
      <c r="G152" s="23">
        <v>91</v>
      </c>
      <c r="H152" s="23">
        <v>91</v>
      </c>
      <c r="K152" s="23" t="s">
        <v>337</v>
      </c>
      <c r="M152" s="23">
        <v>3</v>
      </c>
      <c r="N152" s="31" t="s">
        <v>1227</v>
      </c>
      <c r="O152" s="42"/>
      <c r="P152" s="31" t="s">
        <v>645</v>
      </c>
    </row>
    <row r="153" spans="1:17" x14ac:dyDescent="0.45">
      <c r="A153" s="23">
        <v>133</v>
      </c>
      <c r="B153" s="23" t="s">
        <v>1226</v>
      </c>
      <c r="C153" s="31" t="s">
        <v>68</v>
      </c>
      <c r="E153" s="23">
        <v>1071</v>
      </c>
      <c r="F153" s="23">
        <v>146</v>
      </c>
      <c r="G153" s="23">
        <v>104</v>
      </c>
      <c r="H153" s="23">
        <v>114</v>
      </c>
      <c r="I153" s="23" t="s">
        <v>337</v>
      </c>
      <c r="K153" s="23" t="s">
        <v>337</v>
      </c>
      <c r="L153" s="23">
        <v>5</v>
      </c>
      <c r="M153" s="23">
        <v>5</v>
      </c>
      <c r="N153" s="31" t="s">
        <v>689</v>
      </c>
      <c r="O153" s="31"/>
      <c r="P153" s="35" t="s">
        <v>1225</v>
      </c>
      <c r="Q153" s="31" t="s">
        <v>3368</v>
      </c>
    </row>
    <row r="154" spans="1:17" x14ac:dyDescent="0.45">
      <c r="A154" s="23">
        <v>134</v>
      </c>
      <c r="B154" s="23" t="s">
        <v>199</v>
      </c>
      <c r="C154" s="39" t="s">
        <v>111</v>
      </c>
      <c r="E154" s="23">
        <v>3114</v>
      </c>
      <c r="F154" s="23">
        <v>277</v>
      </c>
      <c r="G154" s="23">
        <v>205</v>
      </c>
      <c r="H154" s="23">
        <v>161</v>
      </c>
      <c r="I154" s="23" t="s">
        <v>337</v>
      </c>
      <c r="K154" s="23" t="s">
        <v>337</v>
      </c>
      <c r="M154" s="23">
        <v>5</v>
      </c>
      <c r="N154" s="39" t="s">
        <v>121</v>
      </c>
      <c r="O154" s="31"/>
      <c r="P154" s="39" t="s">
        <v>1224</v>
      </c>
      <c r="Q154" s="31" t="s">
        <v>1567</v>
      </c>
    </row>
    <row r="155" spans="1:17" x14ac:dyDescent="0.45">
      <c r="A155" s="23">
        <v>135</v>
      </c>
      <c r="B155" s="23" t="s">
        <v>303</v>
      </c>
      <c r="C155" s="25" t="s">
        <v>8</v>
      </c>
      <c r="E155" s="23">
        <v>2888</v>
      </c>
      <c r="F155" s="23">
        <v>163</v>
      </c>
      <c r="G155" s="23">
        <v>232</v>
      </c>
      <c r="H155" s="23">
        <v>182</v>
      </c>
      <c r="I155" s="23" t="s">
        <v>337</v>
      </c>
      <c r="K155" s="23" t="s">
        <v>337</v>
      </c>
      <c r="M155" s="23">
        <v>5</v>
      </c>
      <c r="N155" s="25" t="s">
        <v>1026</v>
      </c>
      <c r="O155" s="39"/>
      <c r="P155" s="25" t="s">
        <v>1223</v>
      </c>
      <c r="Q155" s="31" t="s">
        <v>1567</v>
      </c>
    </row>
    <row r="156" spans="1:17" x14ac:dyDescent="0.45">
      <c r="A156" s="23">
        <v>136</v>
      </c>
      <c r="B156" s="23" t="s">
        <v>37</v>
      </c>
      <c r="C156" s="33" t="s">
        <v>22</v>
      </c>
      <c r="E156" s="23">
        <v>3029</v>
      </c>
      <c r="F156" s="23">
        <v>163</v>
      </c>
      <c r="G156" s="23">
        <v>246</v>
      </c>
      <c r="H156" s="23">
        <v>179</v>
      </c>
      <c r="I156" s="23" t="s">
        <v>337</v>
      </c>
      <c r="K156" s="23" t="s">
        <v>337</v>
      </c>
      <c r="M156" s="23">
        <v>5</v>
      </c>
      <c r="N156" s="33" t="s">
        <v>857</v>
      </c>
      <c r="O156" s="25"/>
      <c r="P156" s="33" t="s">
        <v>1222</v>
      </c>
      <c r="Q156" s="31" t="s">
        <v>3369</v>
      </c>
    </row>
    <row r="157" spans="1:17" x14ac:dyDescent="0.45">
      <c r="A157" s="23">
        <v>137</v>
      </c>
      <c r="B157" s="23" t="s">
        <v>1221</v>
      </c>
      <c r="C157" s="31" t="s">
        <v>68</v>
      </c>
      <c r="E157" s="23">
        <v>1720</v>
      </c>
      <c r="F157" s="23">
        <v>163</v>
      </c>
      <c r="G157" s="23">
        <v>153</v>
      </c>
      <c r="H157" s="23">
        <v>136</v>
      </c>
      <c r="J157" s="23" t="s">
        <v>337</v>
      </c>
      <c r="K157" s="23" t="s">
        <v>337</v>
      </c>
      <c r="M157" s="23">
        <v>3</v>
      </c>
      <c r="N157" s="25" t="s">
        <v>500</v>
      </c>
      <c r="O157" s="27" t="s">
        <v>3337</v>
      </c>
      <c r="P157" s="36" t="s">
        <v>3241</v>
      </c>
      <c r="Q157" s="31" t="s">
        <v>3370</v>
      </c>
    </row>
    <row r="158" spans="1:17" x14ac:dyDescent="0.45">
      <c r="A158" s="23">
        <v>138</v>
      </c>
      <c r="B158" s="23" t="s">
        <v>1220</v>
      </c>
      <c r="C158" s="41" t="s">
        <v>43</v>
      </c>
      <c r="D158" s="39" t="s">
        <v>111</v>
      </c>
      <c r="E158" s="23">
        <v>1544</v>
      </c>
      <c r="F158" s="23">
        <v>111</v>
      </c>
      <c r="G158" s="23">
        <v>155</v>
      </c>
      <c r="H158" s="23">
        <v>153</v>
      </c>
      <c r="I158" s="23" t="s">
        <v>337</v>
      </c>
      <c r="K158" s="23" t="s">
        <v>337</v>
      </c>
      <c r="M158" s="23">
        <v>5</v>
      </c>
      <c r="N158" s="35" t="s">
        <v>824</v>
      </c>
      <c r="O158" s="25"/>
      <c r="P158" s="41" t="s">
        <v>1219</v>
      </c>
      <c r="Q158" s="41" t="s">
        <v>3371</v>
      </c>
    </row>
    <row r="159" spans="1:17" x14ac:dyDescent="0.45">
      <c r="A159" s="23">
        <v>139</v>
      </c>
      <c r="B159" s="23" t="s">
        <v>287</v>
      </c>
      <c r="C159" s="41" t="s">
        <v>43</v>
      </c>
      <c r="D159" s="39" t="s">
        <v>111</v>
      </c>
      <c r="E159" s="23">
        <v>2786</v>
      </c>
      <c r="F159" s="23">
        <v>172</v>
      </c>
      <c r="G159" s="23">
        <v>207</v>
      </c>
      <c r="H159" s="23">
        <v>201</v>
      </c>
      <c r="I159" s="23" t="s">
        <v>337</v>
      </c>
      <c r="K159" s="23" t="s">
        <v>337</v>
      </c>
      <c r="M159" s="23">
        <v>5</v>
      </c>
      <c r="N159" s="35" t="s">
        <v>824</v>
      </c>
      <c r="O159" s="41" t="s">
        <v>41</v>
      </c>
      <c r="P159" s="41" t="s">
        <v>1218</v>
      </c>
      <c r="Q159" s="41" t="s">
        <v>40</v>
      </c>
    </row>
    <row r="160" spans="1:17" x14ac:dyDescent="0.45">
      <c r="A160" s="23">
        <v>140</v>
      </c>
      <c r="B160" s="23" t="s">
        <v>1217</v>
      </c>
      <c r="C160" s="41" t="s">
        <v>43</v>
      </c>
      <c r="D160" s="39" t="s">
        <v>111</v>
      </c>
      <c r="E160" s="23">
        <v>1370</v>
      </c>
      <c r="F160" s="23">
        <v>102</v>
      </c>
      <c r="G160" s="23">
        <v>148</v>
      </c>
      <c r="H160" s="23">
        <v>140</v>
      </c>
      <c r="I160" s="23" t="s">
        <v>337</v>
      </c>
      <c r="K160" s="23" t="s">
        <v>337</v>
      </c>
      <c r="M160" s="23">
        <v>5</v>
      </c>
      <c r="N160" s="31" t="s">
        <v>1216</v>
      </c>
      <c r="O160" s="35"/>
      <c r="P160" s="39" t="s">
        <v>1215</v>
      </c>
    </row>
    <row r="161" spans="1:17" x14ac:dyDescent="0.45">
      <c r="A161" s="23">
        <v>141</v>
      </c>
      <c r="B161" s="23" t="s">
        <v>283</v>
      </c>
      <c r="C161" s="41" t="s">
        <v>43</v>
      </c>
      <c r="D161" s="39" t="s">
        <v>111</v>
      </c>
      <c r="E161" s="23">
        <v>2713</v>
      </c>
      <c r="F161" s="23">
        <v>155</v>
      </c>
      <c r="G161" s="23">
        <v>220</v>
      </c>
      <c r="H161" s="23">
        <v>186</v>
      </c>
      <c r="I161" s="23" t="s">
        <v>337</v>
      </c>
      <c r="K161" s="23" t="s">
        <v>337</v>
      </c>
      <c r="M161" s="23">
        <v>5</v>
      </c>
      <c r="N161" s="28" t="s">
        <v>1214</v>
      </c>
      <c r="O161" s="32" t="s">
        <v>27</v>
      </c>
      <c r="P161" s="41" t="s">
        <v>1213</v>
      </c>
    </row>
    <row r="162" spans="1:17" x14ac:dyDescent="0.45">
      <c r="A162" s="23">
        <v>142</v>
      </c>
      <c r="B162" s="23" t="s">
        <v>186</v>
      </c>
      <c r="C162" s="38" t="s">
        <v>72</v>
      </c>
      <c r="D162" s="41" t="s">
        <v>43</v>
      </c>
      <c r="E162" s="23">
        <v>2783</v>
      </c>
      <c r="F162" s="23">
        <v>190</v>
      </c>
      <c r="G162" s="23">
        <v>221</v>
      </c>
      <c r="H162" s="23">
        <v>159</v>
      </c>
      <c r="I162" s="23" t="s">
        <v>337</v>
      </c>
      <c r="K162" s="23" t="s">
        <v>337</v>
      </c>
      <c r="M162" s="23">
        <v>5</v>
      </c>
      <c r="N162" s="41" t="s">
        <v>1212</v>
      </c>
      <c r="O162" s="28"/>
      <c r="P162" s="26" t="s">
        <v>1211</v>
      </c>
    </row>
    <row r="163" spans="1:17" x14ac:dyDescent="0.45">
      <c r="A163" s="23">
        <v>143</v>
      </c>
      <c r="B163" s="23" t="s">
        <v>274</v>
      </c>
      <c r="C163" s="31" t="s">
        <v>68</v>
      </c>
      <c r="D163" s="41"/>
      <c r="E163" s="23">
        <v>3225</v>
      </c>
      <c r="F163" s="23">
        <v>330</v>
      </c>
      <c r="G163" s="23">
        <v>190</v>
      </c>
      <c r="H163" s="23">
        <v>169</v>
      </c>
      <c r="J163" s="23" t="s">
        <v>337</v>
      </c>
      <c r="K163" s="23" t="s">
        <v>337</v>
      </c>
      <c r="M163" s="23">
        <v>5</v>
      </c>
      <c r="N163" s="34" t="s">
        <v>520</v>
      </c>
      <c r="O163" s="31" t="s">
        <v>936</v>
      </c>
      <c r="P163" s="30" t="s">
        <v>3242</v>
      </c>
      <c r="Q163" s="31" t="s">
        <v>3338</v>
      </c>
    </row>
    <row r="164" spans="1:17" x14ac:dyDescent="0.45">
      <c r="A164" s="23">
        <v>144</v>
      </c>
      <c r="B164" s="23" t="s">
        <v>1210</v>
      </c>
      <c r="C164" s="38" t="s">
        <v>72</v>
      </c>
      <c r="D164" s="42" t="s">
        <v>62</v>
      </c>
      <c r="E164" s="23">
        <v>3051</v>
      </c>
      <c r="F164" s="23">
        <v>207</v>
      </c>
      <c r="G164" s="23">
        <v>192</v>
      </c>
      <c r="H164" s="23">
        <v>236</v>
      </c>
      <c r="I164" s="23" t="s">
        <v>337</v>
      </c>
      <c r="J164" s="23" t="s">
        <v>337</v>
      </c>
      <c r="M164" s="23">
        <v>20</v>
      </c>
      <c r="N164" s="42" t="s">
        <v>506</v>
      </c>
      <c r="O164" s="34"/>
      <c r="P164" s="41" t="s">
        <v>3243</v>
      </c>
      <c r="Q164" s="31" t="s">
        <v>3372</v>
      </c>
    </row>
    <row r="165" spans="1:17" x14ac:dyDescent="0.45">
      <c r="A165" s="23">
        <v>145</v>
      </c>
      <c r="B165" s="23" t="s">
        <v>147</v>
      </c>
      <c r="C165" s="38" t="s">
        <v>72</v>
      </c>
      <c r="D165" s="25" t="s">
        <v>8</v>
      </c>
      <c r="E165" s="23">
        <v>3527</v>
      </c>
      <c r="F165" s="23">
        <v>207</v>
      </c>
      <c r="G165" s="23">
        <v>253</v>
      </c>
      <c r="H165" s="23">
        <v>185</v>
      </c>
      <c r="I165" s="23" t="s">
        <v>337</v>
      </c>
      <c r="J165" s="23" t="s">
        <v>337</v>
      </c>
      <c r="M165" s="23">
        <v>20</v>
      </c>
      <c r="N165" s="25" t="s">
        <v>74</v>
      </c>
      <c r="O165" s="25" t="s">
        <v>115</v>
      </c>
      <c r="P165" s="25" t="s">
        <v>3244</v>
      </c>
      <c r="Q165" s="31" t="s">
        <v>3338</v>
      </c>
    </row>
    <row r="166" spans="1:17" x14ac:dyDescent="0.45">
      <c r="A166" s="23">
        <v>146</v>
      </c>
      <c r="B166" s="23" t="s">
        <v>141</v>
      </c>
      <c r="C166" s="38" t="s">
        <v>72</v>
      </c>
      <c r="D166" s="33" t="s">
        <v>22</v>
      </c>
      <c r="E166" s="23">
        <v>3465</v>
      </c>
      <c r="F166" s="23">
        <v>207</v>
      </c>
      <c r="G166" s="23">
        <v>251</v>
      </c>
      <c r="H166" s="23">
        <v>181</v>
      </c>
      <c r="I166" s="23" t="s">
        <v>337</v>
      </c>
      <c r="J166" s="23" t="s">
        <v>337</v>
      </c>
      <c r="M166" s="23">
        <v>20</v>
      </c>
      <c r="N166" s="38" t="s">
        <v>1209</v>
      </c>
      <c r="O166" s="25"/>
      <c r="P166" s="33" t="s">
        <v>3245</v>
      </c>
      <c r="Q166" s="31" t="s">
        <v>3373</v>
      </c>
    </row>
    <row r="167" spans="1:17" x14ac:dyDescent="0.45">
      <c r="A167" s="23">
        <v>147</v>
      </c>
      <c r="B167" s="23" t="s">
        <v>1208</v>
      </c>
      <c r="C167" s="30" t="s">
        <v>90</v>
      </c>
      <c r="D167" s="33"/>
      <c r="E167" s="23">
        <v>1004</v>
      </c>
      <c r="F167" s="23">
        <v>121</v>
      </c>
      <c r="G167" s="23">
        <v>119</v>
      </c>
      <c r="H167" s="23">
        <v>91</v>
      </c>
      <c r="I167" s="23" t="s">
        <v>337</v>
      </c>
      <c r="J167" s="23" t="s">
        <v>337</v>
      </c>
      <c r="K167" s="23" t="s">
        <v>337</v>
      </c>
      <c r="M167" s="23">
        <v>5</v>
      </c>
      <c r="N167" s="26" t="s">
        <v>1206</v>
      </c>
      <c r="O167" s="38"/>
      <c r="P167" s="39" t="s">
        <v>3246</v>
      </c>
      <c r="Q167" s="31" t="s">
        <v>3338</v>
      </c>
    </row>
    <row r="168" spans="1:17" x14ac:dyDescent="0.45">
      <c r="A168" s="23">
        <v>148</v>
      </c>
      <c r="B168" s="23" t="s">
        <v>1207</v>
      </c>
      <c r="C168" s="30" t="s">
        <v>90</v>
      </c>
      <c r="E168" s="23">
        <v>1780</v>
      </c>
      <c r="F168" s="23">
        <v>156</v>
      </c>
      <c r="G168" s="23">
        <v>163</v>
      </c>
      <c r="H168" s="23">
        <v>135</v>
      </c>
      <c r="I168" s="23" t="s">
        <v>337</v>
      </c>
      <c r="J168" s="23" t="s">
        <v>337</v>
      </c>
      <c r="K168" s="23" t="s">
        <v>337</v>
      </c>
      <c r="M168" s="23">
        <v>5</v>
      </c>
      <c r="N168" s="26" t="s">
        <v>1206</v>
      </c>
      <c r="O168" s="26"/>
      <c r="P168" s="39" t="s">
        <v>3247</v>
      </c>
      <c r="Q168" s="31" t="s">
        <v>3338</v>
      </c>
    </row>
    <row r="169" spans="1:17" x14ac:dyDescent="0.45">
      <c r="A169" s="23">
        <v>149</v>
      </c>
      <c r="B169" s="23" t="s">
        <v>311</v>
      </c>
      <c r="C169" s="38" t="s">
        <v>72</v>
      </c>
      <c r="D169" s="30" t="s">
        <v>90</v>
      </c>
      <c r="E169" s="23">
        <v>3792</v>
      </c>
      <c r="F169" s="23">
        <v>209</v>
      </c>
      <c r="G169" s="23">
        <v>263</v>
      </c>
      <c r="H169" s="23">
        <v>198</v>
      </c>
      <c r="I169" s="23" t="s">
        <v>337</v>
      </c>
      <c r="J169" s="23" t="s">
        <v>337</v>
      </c>
      <c r="K169" s="23" t="s">
        <v>337</v>
      </c>
      <c r="M169" s="23">
        <v>5</v>
      </c>
      <c r="N169" s="30" t="s">
        <v>1753</v>
      </c>
      <c r="O169" s="26"/>
      <c r="P169" s="30" t="s">
        <v>3248</v>
      </c>
      <c r="Q169" s="31" t="s">
        <v>3374</v>
      </c>
    </row>
    <row r="170" spans="1:17" x14ac:dyDescent="0.45">
      <c r="A170" s="23">
        <v>150</v>
      </c>
      <c r="B170" s="23" t="s">
        <v>1203</v>
      </c>
      <c r="C170" s="27" t="s">
        <v>18</v>
      </c>
      <c r="D170" s="30"/>
      <c r="E170" s="23">
        <v>3187</v>
      </c>
      <c r="F170" s="23">
        <v>214</v>
      </c>
      <c r="G170" s="23">
        <v>182</v>
      </c>
      <c r="H170" s="23">
        <v>278</v>
      </c>
      <c r="M170" s="23">
        <v>20</v>
      </c>
      <c r="N170" s="26" t="s">
        <v>1202</v>
      </c>
      <c r="O170" s="30"/>
      <c r="P170" s="41" t="s">
        <v>1201</v>
      </c>
    </row>
    <row r="171" spans="1:17" x14ac:dyDescent="0.45">
      <c r="A171" s="23">
        <v>150</v>
      </c>
      <c r="B171" s="23" t="s">
        <v>1205</v>
      </c>
      <c r="C171" s="27" t="s">
        <v>18</v>
      </c>
      <c r="E171" s="23">
        <v>4178</v>
      </c>
      <c r="F171" s="23">
        <v>214</v>
      </c>
      <c r="G171" s="23">
        <v>300</v>
      </c>
      <c r="H171" s="23">
        <v>182</v>
      </c>
      <c r="I171" s="23" t="s">
        <v>337</v>
      </c>
      <c r="M171" s="23">
        <v>20</v>
      </c>
      <c r="N171" s="27" t="s">
        <v>469</v>
      </c>
      <c r="O171" s="26"/>
      <c r="P171" s="25" t="s">
        <v>1204</v>
      </c>
      <c r="Q171" s="27" t="s">
        <v>3375</v>
      </c>
    </row>
    <row r="172" spans="1:17" x14ac:dyDescent="0.45">
      <c r="A172" s="23">
        <v>151</v>
      </c>
      <c r="B172" s="23" t="s">
        <v>134</v>
      </c>
      <c r="C172" s="27" t="s">
        <v>18</v>
      </c>
      <c r="E172" s="23">
        <v>3265</v>
      </c>
      <c r="F172" s="23">
        <v>225</v>
      </c>
      <c r="G172" s="23">
        <v>210</v>
      </c>
      <c r="H172" s="23">
        <v>210</v>
      </c>
      <c r="M172" s="23">
        <v>20</v>
      </c>
      <c r="N172" s="31" t="s">
        <v>1200</v>
      </c>
      <c r="O172" s="27"/>
      <c r="P172" s="25" t="s">
        <v>1199</v>
      </c>
    </row>
    <row r="173" spans="1:17" x14ac:dyDescent="0.45">
      <c r="A173" s="23">
        <v>152</v>
      </c>
      <c r="B173" s="23" t="s">
        <v>1198</v>
      </c>
      <c r="C173" s="36" t="s">
        <v>12</v>
      </c>
      <c r="E173" s="23">
        <v>935</v>
      </c>
      <c r="F173" s="23">
        <v>128</v>
      </c>
      <c r="G173" s="23">
        <v>92</v>
      </c>
      <c r="H173" s="23">
        <v>122</v>
      </c>
      <c r="I173" s="23" t="s">
        <v>337</v>
      </c>
      <c r="K173" s="23" t="s">
        <v>337</v>
      </c>
      <c r="M173" s="23">
        <v>3</v>
      </c>
      <c r="N173" s="31" t="s">
        <v>464</v>
      </c>
      <c r="O173" s="31"/>
      <c r="P173" s="36" t="s">
        <v>383</v>
      </c>
    </row>
    <row r="174" spans="1:17" x14ac:dyDescent="0.45">
      <c r="A174" s="23">
        <v>153</v>
      </c>
      <c r="B174" s="23" t="s">
        <v>1197</v>
      </c>
      <c r="C174" s="36" t="s">
        <v>12</v>
      </c>
      <c r="E174" s="23">
        <v>1454</v>
      </c>
      <c r="F174" s="23">
        <v>155</v>
      </c>
      <c r="G174" s="23">
        <v>122</v>
      </c>
      <c r="H174" s="23">
        <v>155</v>
      </c>
      <c r="I174" s="23" t="s">
        <v>337</v>
      </c>
      <c r="K174" s="23" t="s">
        <v>337</v>
      </c>
      <c r="M174" s="23">
        <v>3</v>
      </c>
      <c r="N174" s="31" t="s">
        <v>709</v>
      </c>
      <c r="O174" s="31"/>
      <c r="P174" s="36" t="s">
        <v>1196</v>
      </c>
    </row>
    <row r="175" spans="1:17" x14ac:dyDescent="0.45">
      <c r="A175" s="23">
        <v>154</v>
      </c>
      <c r="B175" s="23" t="s">
        <v>275</v>
      </c>
      <c r="C175" s="36" t="s">
        <v>12</v>
      </c>
      <c r="E175" s="23">
        <v>2410</v>
      </c>
      <c r="F175" s="23">
        <v>190</v>
      </c>
      <c r="G175" s="23">
        <v>168</v>
      </c>
      <c r="H175" s="23">
        <v>202</v>
      </c>
      <c r="I175" s="23" t="s">
        <v>337</v>
      </c>
      <c r="K175" s="23" t="s">
        <v>337</v>
      </c>
      <c r="M175" s="23">
        <v>3</v>
      </c>
      <c r="N175" s="36" t="s">
        <v>1195</v>
      </c>
      <c r="O175" s="31"/>
      <c r="P175" s="35" t="s">
        <v>1194</v>
      </c>
      <c r="Q175" s="36" t="s">
        <v>1565</v>
      </c>
    </row>
    <row r="176" spans="1:17" x14ac:dyDescent="0.45">
      <c r="A176" s="23">
        <v>155</v>
      </c>
      <c r="B176" s="23" t="s">
        <v>1193</v>
      </c>
      <c r="C176" s="33" t="s">
        <v>22</v>
      </c>
      <c r="E176" s="23">
        <v>980</v>
      </c>
      <c r="F176" s="23">
        <v>118</v>
      </c>
      <c r="G176" s="23">
        <v>116</v>
      </c>
      <c r="H176" s="23">
        <v>93</v>
      </c>
      <c r="I176" s="23" t="s">
        <v>337</v>
      </c>
      <c r="K176" s="23" t="s">
        <v>337</v>
      </c>
      <c r="M176" s="23">
        <v>3</v>
      </c>
      <c r="N176" s="31" t="s">
        <v>455</v>
      </c>
      <c r="O176" s="36"/>
      <c r="P176" s="33" t="s">
        <v>1192</v>
      </c>
    </row>
    <row r="177" spans="1:17" x14ac:dyDescent="0.45">
      <c r="A177" s="23">
        <v>156</v>
      </c>
      <c r="B177" s="23" t="s">
        <v>1191</v>
      </c>
      <c r="C177" s="33" t="s">
        <v>22</v>
      </c>
      <c r="E177" s="23">
        <v>1653</v>
      </c>
      <c r="F177" s="23">
        <v>151</v>
      </c>
      <c r="G177" s="23">
        <v>158</v>
      </c>
      <c r="H177" s="23">
        <v>126</v>
      </c>
      <c r="I177" s="23" t="s">
        <v>337</v>
      </c>
      <c r="K177" s="23" t="s">
        <v>337</v>
      </c>
      <c r="M177" s="23">
        <v>3</v>
      </c>
      <c r="N177" s="31" t="s">
        <v>455</v>
      </c>
      <c r="O177" s="31"/>
      <c r="P177" s="35" t="s">
        <v>1190</v>
      </c>
    </row>
    <row r="178" spans="1:17" x14ac:dyDescent="0.45">
      <c r="A178" s="23">
        <v>157</v>
      </c>
      <c r="B178" s="23" t="s">
        <v>50</v>
      </c>
      <c r="C178" s="33" t="s">
        <v>22</v>
      </c>
      <c r="E178" s="23">
        <v>2889</v>
      </c>
      <c r="F178" s="23">
        <v>186</v>
      </c>
      <c r="G178" s="23">
        <v>223</v>
      </c>
      <c r="H178" s="23">
        <v>173</v>
      </c>
      <c r="I178" s="23" t="s">
        <v>337</v>
      </c>
      <c r="K178" s="23" t="s">
        <v>337</v>
      </c>
      <c r="M178" s="23">
        <v>3</v>
      </c>
      <c r="N178" s="34" t="s">
        <v>1189</v>
      </c>
      <c r="O178" s="31"/>
      <c r="P178" s="33" t="s">
        <v>3249</v>
      </c>
      <c r="Q178" s="33" t="s">
        <v>1563</v>
      </c>
    </row>
    <row r="179" spans="1:17" x14ac:dyDescent="0.45">
      <c r="A179" s="23">
        <v>158</v>
      </c>
      <c r="B179" s="23" t="s">
        <v>1188</v>
      </c>
      <c r="C179" s="39" t="s">
        <v>111</v>
      </c>
      <c r="E179" s="23">
        <v>1131</v>
      </c>
      <c r="F179" s="23">
        <v>137</v>
      </c>
      <c r="G179" s="23">
        <v>117</v>
      </c>
      <c r="H179" s="23">
        <v>109</v>
      </c>
      <c r="I179" s="23" t="s">
        <v>337</v>
      </c>
      <c r="K179" s="23" t="s">
        <v>337</v>
      </c>
      <c r="M179" s="23">
        <v>3</v>
      </c>
      <c r="N179" s="31" t="s">
        <v>412</v>
      </c>
      <c r="O179" s="34"/>
      <c r="P179" s="39" t="s">
        <v>1187</v>
      </c>
    </row>
    <row r="180" spans="1:17" x14ac:dyDescent="0.45">
      <c r="A180" s="23">
        <v>159</v>
      </c>
      <c r="B180" s="23" t="s">
        <v>1186</v>
      </c>
      <c r="C180" s="39" t="s">
        <v>111</v>
      </c>
      <c r="E180" s="23">
        <v>1722</v>
      </c>
      <c r="F180" s="23">
        <v>163</v>
      </c>
      <c r="G180" s="23">
        <v>150</v>
      </c>
      <c r="H180" s="23">
        <v>142</v>
      </c>
      <c r="I180" s="23" t="s">
        <v>337</v>
      </c>
      <c r="K180" s="23" t="s">
        <v>337</v>
      </c>
      <c r="M180" s="23">
        <v>3</v>
      </c>
      <c r="N180" s="31" t="s">
        <v>412</v>
      </c>
      <c r="O180" s="31"/>
      <c r="P180" s="29" t="s">
        <v>1185</v>
      </c>
    </row>
    <row r="181" spans="1:17" x14ac:dyDescent="0.45">
      <c r="A181" s="23">
        <v>160</v>
      </c>
      <c r="B181" s="23" t="s">
        <v>177</v>
      </c>
      <c r="C181" s="39" t="s">
        <v>111</v>
      </c>
      <c r="E181" s="23">
        <v>2857</v>
      </c>
      <c r="F181" s="23">
        <v>198</v>
      </c>
      <c r="G181" s="23">
        <v>205</v>
      </c>
      <c r="H181" s="23">
        <v>188</v>
      </c>
      <c r="I181" s="23" t="s">
        <v>337</v>
      </c>
      <c r="K181" s="23" t="s">
        <v>337</v>
      </c>
      <c r="M181" s="23">
        <v>3</v>
      </c>
      <c r="N181" s="29" t="s">
        <v>1754</v>
      </c>
      <c r="O181" s="39" t="s">
        <v>121</v>
      </c>
      <c r="P181" s="29" t="s">
        <v>3250</v>
      </c>
      <c r="Q181" s="39" t="s">
        <v>1564</v>
      </c>
    </row>
    <row r="182" spans="1:17" x14ac:dyDescent="0.45">
      <c r="A182" s="23">
        <v>161</v>
      </c>
      <c r="B182" s="23" t="s">
        <v>1184</v>
      </c>
      <c r="C182" s="31" t="s">
        <v>68</v>
      </c>
      <c r="E182" s="23">
        <v>618</v>
      </c>
      <c r="F182" s="23">
        <v>111</v>
      </c>
      <c r="G182" s="23">
        <v>79</v>
      </c>
      <c r="H182" s="23">
        <v>73</v>
      </c>
      <c r="I182" s="23" t="s">
        <v>337</v>
      </c>
      <c r="K182" s="23" t="s">
        <v>337</v>
      </c>
      <c r="M182" s="23">
        <v>1</v>
      </c>
      <c r="N182" s="31" t="s">
        <v>596</v>
      </c>
      <c r="O182" s="29"/>
      <c r="P182" s="35" t="s">
        <v>1183</v>
      </c>
    </row>
    <row r="183" spans="1:17" x14ac:dyDescent="0.45">
      <c r="A183" s="23">
        <v>162</v>
      </c>
      <c r="B183" s="23" t="s">
        <v>1182</v>
      </c>
      <c r="C183" s="31" t="s">
        <v>68</v>
      </c>
      <c r="E183" s="23">
        <v>1758</v>
      </c>
      <c r="F183" s="23">
        <v>198</v>
      </c>
      <c r="G183" s="23">
        <v>148</v>
      </c>
      <c r="H183" s="23">
        <v>125</v>
      </c>
      <c r="I183" s="23" t="s">
        <v>337</v>
      </c>
      <c r="K183" s="23" t="s">
        <v>337</v>
      </c>
      <c r="M183" s="23">
        <v>1</v>
      </c>
      <c r="N183" s="31" t="s">
        <v>1181</v>
      </c>
      <c r="O183" s="31"/>
      <c r="P183" s="35" t="s">
        <v>1180</v>
      </c>
    </row>
    <row r="184" spans="1:17" x14ac:dyDescent="0.45">
      <c r="A184" s="23">
        <v>163</v>
      </c>
      <c r="B184" s="23" t="s">
        <v>1179</v>
      </c>
      <c r="C184" s="31" t="s">
        <v>68</v>
      </c>
      <c r="D184" s="38" t="s">
        <v>72</v>
      </c>
      <c r="E184" s="23">
        <v>677</v>
      </c>
      <c r="F184" s="23">
        <v>155</v>
      </c>
      <c r="G184" s="23">
        <v>67</v>
      </c>
      <c r="H184" s="23">
        <v>88</v>
      </c>
      <c r="K184" s="23" t="s">
        <v>337</v>
      </c>
      <c r="M184" s="23">
        <v>1</v>
      </c>
      <c r="N184" s="29" t="s">
        <v>1110</v>
      </c>
      <c r="O184" s="31"/>
      <c r="P184" s="38" t="s">
        <v>1178</v>
      </c>
    </row>
    <row r="185" spans="1:17" x14ac:dyDescent="0.45">
      <c r="A185" s="23">
        <v>164</v>
      </c>
      <c r="B185" s="23" t="s">
        <v>130</v>
      </c>
      <c r="C185" s="31" t="s">
        <v>68</v>
      </c>
      <c r="D185" s="38" t="s">
        <v>72</v>
      </c>
      <c r="E185" s="23">
        <v>2024</v>
      </c>
      <c r="F185" s="23">
        <v>225</v>
      </c>
      <c r="G185" s="23">
        <v>145</v>
      </c>
      <c r="H185" s="23">
        <v>156</v>
      </c>
      <c r="K185" s="23" t="s">
        <v>337</v>
      </c>
      <c r="M185" s="23">
        <v>1</v>
      </c>
      <c r="N185" s="27" t="s">
        <v>1177</v>
      </c>
      <c r="O185" s="29"/>
      <c r="P185" s="38" t="s">
        <v>1176</v>
      </c>
    </row>
    <row r="186" spans="1:17" x14ac:dyDescent="0.45">
      <c r="A186" s="23">
        <v>165</v>
      </c>
      <c r="B186" s="23" t="s">
        <v>1175</v>
      </c>
      <c r="C186" s="38" t="s">
        <v>72</v>
      </c>
      <c r="D186" s="32" t="s">
        <v>29</v>
      </c>
      <c r="E186" s="23">
        <v>728</v>
      </c>
      <c r="F186" s="23">
        <v>120</v>
      </c>
      <c r="G186" s="23">
        <v>72</v>
      </c>
      <c r="H186" s="23">
        <v>118</v>
      </c>
      <c r="K186" s="23" t="s">
        <v>337</v>
      </c>
      <c r="M186" s="23">
        <v>1</v>
      </c>
      <c r="N186" s="31" t="s">
        <v>646</v>
      </c>
      <c r="O186" s="27"/>
      <c r="P186" s="32" t="s">
        <v>1174</v>
      </c>
    </row>
    <row r="187" spans="1:17" x14ac:dyDescent="0.45">
      <c r="A187" s="23">
        <v>166</v>
      </c>
      <c r="B187" s="23" t="s">
        <v>1173</v>
      </c>
      <c r="C187" s="38" t="s">
        <v>72</v>
      </c>
      <c r="D187" s="32" t="s">
        <v>29</v>
      </c>
      <c r="E187" s="23">
        <v>1346</v>
      </c>
      <c r="F187" s="23">
        <v>146</v>
      </c>
      <c r="G187" s="23">
        <v>107</v>
      </c>
      <c r="H187" s="23">
        <v>179</v>
      </c>
      <c r="K187" s="23" t="s">
        <v>337</v>
      </c>
      <c r="M187" s="23">
        <v>1</v>
      </c>
      <c r="N187" s="32" t="s">
        <v>677</v>
      </c>
      <c r="O187" s="31"/>
      <c r="P187" s="32" t="s">
        <v>1172</v>
      </c>
    </row>
    <row r="188" spans="1:17" x14ac:dyDescent="0.45">
      <c r="A188" s="23">
        <v>167</v>
      </c>
      <c r="B188" s="23" t="s">
        <v>1171</v>
      </c>
      <c r="C188" s="37" t="s">
        <v>32</v>
      </c>
      <c r="D188" s="32" t="s">
        <v>29</v>
      </c>
      <c r="E188" s="23">
        <v>816</v>
      </c>
      <c r="F188" s="23">
        <v>120</v>
      </c>
      <c r="G188" s="23">
        <v>105</v>
      </c>
      <c r="H188" s="23">
        <v>73</v>
      </c>
      <c r="K188" s="23" t="s">
        <v>337</v>
      </c>
      <c r="M188" s="23">
        <v>1</v>
      </c>
      <c r="N188" s="37" t="s">
        <v>632</v>
      </c>
      <c r="O188" s="32"/>
      <c r="P188" s="37" t="s">
        <v>1170</v>
      </c>
    </row>
    <row r="189" spans="1:17" x14ac:dyDescent="0.45">
      <c r="A189" s="23">
        <v>168</v>
      </c>
      <c r="B189" s="23" t="s">
        <v>152</v>
      </c>
      <c r="C189" s="37" t="s">
        <v>32</v>
      </c>
      <c r="D189" s="32" t="s">
        <v>29</v>
      </c>
      <c r="E189" s="23">
        <v>1772</v>
      </c>
      <c r="F189" s="23">
        <v>172</v>
      </c>
      <c r="G189" s="23">
        <v>161</v>
      </c>
      <c r="H189" s="23">
        <v>124</v>
      </c>
      <c r="K189" s="23" t="s">
        <v>337</v>
      </c>
      <c r="M189" s="23">
        <v>1</v>
      </c>
      <c r="N189" s="37" t="s">
        <v>546</v>
      </c>
      <c r="O189" s="37"/>
      <c r="P189" s="34" t="s">
        <v>1169</v>
      </c>
    </row>
    <row r="190" spans="1:17" x14ac:dyDescent="0.45">
      <c r="A190" s="23">
        <v>169</v>
      </c>
      <c r="B190" s="23" t="s">
        <v>257</v>
      </c>
      <c r="C190" s="37" t="s">
        <v>32</v>
      </c>
      <c r="D190" s="38" t="s">
        <v>72</v>
      </c>
      <c r="E190" s="23">
        <v>2646</v>
      </c>
      <c r="F190" s="23">
        <v>198</v>
      </c>
      <c r="G190" s="23">
        <v>194</v>
      </c>
      <c r="H190" s="23">
        <v>178</v>
      </c>
      <c r="I190" s="23" t="s">
        <v>337</v>
      </c>
      <c r="J190" s="23" t="s">
        <v>337</v>
      </c>
      <c r="K190" s="23" t="s">
        <v>337</v>
      </c>
      <c r="M190" s="23">
        <v>1</v>
      </c>
      <c r="N190" s="38" t="s">
        <v>1168</v>
      </c>
      <c r="O190" s="37"/>
      <c r="P190" s="38" t="s">
        <v>3251</v>
      </c>
      <c r="Q190" s="31" t="s">
        <v>3338</v>
      </c>
    </row>
    <row r="191" spans="1:17" x14ac:dyDescent="0.45">
      <c r="A191" s="23">
        <v>170</v>
      </c>
      <c r="B191" s="23" t="s">
        <v>1167</v>
      </c>
      <c r="C191" s="39" t="s">
        <v>111</v>
      </c>
      <c r="D191" s="25" t="s">
        <v>8</v>
      </c>
      <c r="E191" s="23">
        <v>1119</v>
      </c>
      <c r="F191" s="23">
        <v>181</v>
      </c>
      <c r="G191" s="23">
        <v>106</v>
      </c>
      <c r="H191" s="23">
        <v>97</v>
      </c>
      <c r="K191" s="23" t="s">
        <v>337</v>
      </c>
      <c r="M191" s="23">
        <v>3</v>
      </c>
      <c r="N191" s="39" t="s">
        <v>1166</v>
      </c>
      <c r="O191" s="38"/>
      <c r="P191" s="25" t="s">
        <v>1165</v>
      </c>
    </row>
    <row r="192" spans="1:17" x14ac:dyDescent="0.45">
      <c r="A192" s="23">
        <v>171</v>
      </c>
      <c r="B192" s="23" t="s">
        <v>1164</v>
      </c>
      <c r="C192" s="39" t="s">
        <v>111</v>
      </c>
      <c r="D192" s="25" t="s">
        <v>8</v>
      </c>
      <c r="E192" s="23">
        <v>2085</v>
      </c>
      <c r="F192" s="23">
        <v>268</v>
      </c>
      <c r="G192" s="23">
        <v>146</v>
      </c>
      <c r="H192" s="23">
        <v>137</v>
      </c>
      <c r="K192" s="23" t="s">
        <v>337</v>
      </c>
      <c r="M192" s="23">
        <v>3</v>
      </c>
      <c r="N192" s="25" t="s">
        <v>1163</v>
      </c>
      <c r="O192" s="39"/>
      <c r="P192" s="25" t="s">
        <v>1162</v>
      </c>
    </row>
    <row r="193" spans="1:17" x14ac:dyDescent="0.45">
      <c r="A193" s="23">
        <v>172</v>
      </c>
      <c r="B193" s="23" t="s">
        <v>1161</v>
      </c>
      <c r="C193" s="25" t="s">
        <v>8</v>
      </c>
      <c r="D193" s="25"/>
      <c r="E193" s="23">
        <v>473</v>
      </c>
      <c r="F193" s="23">
        <v>85</v>
      </c>
      <c r="G193" s="23">
        <v>77</v>
      </c>
      <c r="H193" s="23">
        <v>53</v>
      </c>
      <c r="I193" s="23" t="s">
        <v>337</v>
      </c>
      <c r="M193" s="23">
        <v>1</v>
      </c>
      <c r="N193" s="25" t="s">
        <v>115</v>
      </c>
      <c r="O193" s="31" t="s">
        <v>291</v>
      </c>
      <c r="P193" s="25" t="s">
        <v>1160</v>
      </c>
    </row>
    <row r="194" spans="1:17" x14ac:dyDescent="0.45">
      <c r="A194" s="23">
        <v>173</v>
      </c>
      <c r="B194" s="23" t="s">
        <v>1159</v>
      </c>
      <c r="C194" s="40" t="s">
        <v>61</v>
      </c>
      <c r="E194" s="23">
        <v>671</v>
      </c>
      <c r="F194" s="23">
        <v>137</v>
      </c>
      <c r="G194" s="23">
        <v>75</v>
      </c>
      <c r="H194" s="23">
        <v>79</v>
      </c>
      <c r="I194" s="23" t="s">
        <v>337</v>
      </c>
      <c r="M194" s="23">
        <v>1</v>
      </c>
      <c r="N194" s="27" t="s">
        <v>574</v>
      </c>
      <c r="O194" s="25"/>
      <c r="P194" s="36" t="s">
        <v>1158</v>
      </c>
      <c r="Q194" s="27" t="s">
        <v>3376</v>
      </c>
    </row>
    <row r="195" spans="1:17" x14ac:dyDescent="0.45">
      <c r="A195" s="23">
        <v>174</v>
      </c>
      <c r="B195" s="23" t="s">
        <v>1157</v>
      </c>
      <c r="C195" s="31" t="s">
        <v>68</v>
      </c>
      <c r="D195" s="40" t="s">
        <v>61</v>
      </c>
      <c r="E195" s="23">
        <v>535</v>
      </c>
      <c r="F195" s="23">
        <v>207</v>
      </c>
      <c r="G195" s="23">
        <v>69</v>
      </c>
      <c r="H195" s="23">
        <v>32</v>
      </c>
      <c r="I195" s="23" t="s">
        <v>337</v>
      </c>
      <c r="M195" s="23">
        <v>1</v>
      </c>
      <c r="N195" s="29" t="s">
        <v>1156</v>
      </c>
      <c r="O195" s="27"/>
      <c r="P195" s="27" t="s">
        <v>1155</v>
      </c>
      <c r="Q195" s="31" t="s">
        <v>1480</v>
      </c>
    </row>
    <row r="196" spans="1:17" x14ac:dyDescent="0.45">
      <c r="A196" s="23">
        <v>175</v>
      </c>
      <c r="B196" s="23" t="s">
        <v>1154</v>
      </c>
      <c r="C196" s="40" t="s">
        <v>61</v>
      </c>
      <c r="D196" s="40"/>
      <c r="E196" s="23">
        <v>657</v>
      </c>
      <c r="F196" s="23">
        <v>111</v>
      </c>
      <c r="G196" s="23">
        <v>67</v>
      </c>
      <c r="H196" s="23">
        <v>116</v>
      </c>
      <c r="I196" s="23" t="s">
        <v>337</v>
      </c>
      <c r="M196" s="23">
        <v>3</v>
      </c>
      <c r="N196" s="38" t="s">
        <v>1153</v>
      </c>
      <c r="O196" s="27" t="s">
        <v>95</v>
      </c>
      <c r="P196" s="41" t="s">
        <v>1152</v>
      </c>
    </row>
    <row r="197" spans="1:17" x14ac:dyDescent="0.45">
      <c r="A197" s="23">
        <v>176</v>
      </c>
      <c r="B197" s="23" t="s">
        <v>1151</v>
      </c>
      <c r="C197" s="38" t="s">
        <v>72</v>
      </c>
      <c r="D197" s="40" t="s">
        <v>61</v>
      </c>
      <c r="E197" s="23">
        <v>1708</v>
      </c>
      <c r="F197" s="23">
        <v>146</v>
      </c>
      <c r="G197" s="23">
        <v>139</v>
      </c>
      <c r="H197" s="23">
        <v>181</v>
      </c>
      <c r="I197" s="23" t="s">
        <v>337</v>
      </c>
      <c r="K197" s="23" t="s">
        <v>337</v>
      </c>
      <c r="M197" s="23">
        <v>3</v>
      </c>
      <c r="N197" s="27" t="s">
        <v>1150</v>
      </c>
      <c r="O197" s="38"/>
      <c r="P197" s="41" t="s">
        <v>1149</v>
      </c>
    </row>
    <row r="198" spans="1:17" x14ac:dyDescent="0.45">
      <c r="A198" s="23">
        <v>177</v>
      </c>
      <c r="B198" s="23" t="s">
        <v>1148</v>
      </c>
      <c r="C198" s="38" t="s">
        <v>72</v>
      </c>
      <c r="D198" s="27" t="s">
        <v>18</v>
      </c>
      <c r="E198" s="23">
        <v>1102</v>
      </c>
      <c r="F198" s="23">
        <v>120</v>
      </c>
      <c r="G198" s="23">
        <v>134</v>
      </c>
      <c r="H198" s="23">
        <v>89</v>
      </c>
      <c r="I198" s="23" t="s">
        <v>337</v>
      </c>
      <c r="K198" s="23" t="s">
        <v>337</v>
      </c>
      <c r="M198" s="23">
        <v>3</v>
      </c>
      <c r="N198" s="38" t="s">
        <v>962</v>
      </c>
      <c r="O198" s="27"/>
      <c r="P198" s="27" t="s">
        <v>1147</v>
      </c>
    </row>
    <row r="199" spans="1:17" x14ac:dyDescent="0.45">
      <c r="A199" s="23">
        <v>178</v>
      </c>
      <c r="B199" s="23" t="s">
        <v>232</v>
      </c>
      <c r="C199" s="38" t="s">
        <v>72</v>
      </c>
      <c r="D199" s="27" t="s">
        <v>18</v>
      </c>
      <c r="E199" s="23">
        <v>2188</v>
      </c>
      <c r="F199" s="23">
        <v>163</v>
      </c>
      <c r="G199" s="23">
        <v>192</v>
      </c>
      <c r="H199" s="23">
        <v>146</v>
      </c>
      <c r="I199" s="23" t="s">
        <v>337</v>
      </c>
      <c r="K199" s="23" t="s">
        <v>337</v>
      </c>
      <c r="M199" s="23">
        <v>3</v>
      </c>
      <c r="N199" s="38" t="s">
        <v>1146</v>
      </c>
      <c r="O199" s="38"/>
      <c r="P199" s="34" t="s">
        <v>1145</v>
      </c>
    </row>
    <row r="200" spans="1:17" x14ac:dyDescent="0.45">
      <c r="A200" s="23">
        <v>179</v>
      </c>
      <c r="B200" s="23" t="s">
        <v>1144</v>
      </c>
      <c r="C200" s="25" t="s">
        <v>8</v>
      </c>
      <c r="D200" s="27"/>
      <c r="E200" s="23">
        <v>991</v>
      </c>
      <c r="F200" s="23">
        <v>146</v>
      </c>
      <c r="G200" s="23">
        <v>114</v>
      </c>
      <c r="H200" s="23">
        <v>79</v>
      </c>
      <c r="I200" s="23" t="s">
        <v>337</v>
      </c>
      <c r="J200" s="23" t="s">
        <v>337</v>
      </c>
      <c r="K200" s="23" t="s">
        <v>337</v>
      </c>
      <c r="M200" s="23">
        <v>5</v>
      </c>
      <c r="N200" s="31" t="s">
        <v>1143</v>
      </c>
      <c r="O200" s="38"/>
      <c r="P200" s="25" t="s">
        <v>3252</v>
      </c>
      <c r="Q200" s="31" t="s">
        <v>3338</v>
      </c>
    </row>
    <row r="201" spans="1:17" x14ac:dyDescent="0.45">
      <c r="A201" s="23">
        <v>180</v>
      </c>
      <c r="B201" s="23" t="s">
        <v>1142</v>
      </c>
      <c r="C201" s="25" t="s">
        <v>8</v>
      </c>
      <c r="E201" s="23">
        <v>1521</v>
      </c>
      <c r="F201" s="23">
        <v>172</v>
      </c>
      <c r="G201" s="23">
        <v>145</v>
      </c>
      <c r="H201" s="23">
        <v>109</v>
      </c>
      <c r="I201" s="23" t="s">
        <v>337</v>
      </c>
      <c r="J201" s="23" t="s">
        <v>337</v>
      </c>
      <c r="K201" s="23" t="s">
        <v>337</v>
      </c>
      <c r="M201" s="23">
        <v>5</v>
      </c>
      <c r="N201" s="31" t="s">
        <v>1141</v>
      </c>
      <c r="O201" s="31"/>
      <c r="P201" s="25" t="s">
        <v>3253</v>
      </c>
      <c r="Q201" s="31" t="s">
        <v>3338</v>
      </c>
    </row>
    <row r="202" spans="1:17" x14ac:dyDescent="0.45">
      <c r="A202" s="23">
        <v>181</v>
      </c>
      <c r="B202" s="23" t="s">
        <v>188</v>
      </c>
      <c r="C202" s="25" t="s">
        <v>8</v>
      </c>
      <c r="E202" s="23">
        <v>2852</v>
      </c>
      <c r="F202" s="23">
        <v>207</v>
      </c>
      <c r="G202" s="23">
        <v>211</v>
      </c>
      <c r="H202" s="23">
        <v>169</v>
      </c>
      <c r="I202" s="23" t="s">
        <v>337</v>
      </c>
      <c r="J202" s="23" t="s">
        <v>337</v>
      </c>
      <c r="K202" s="23" t="s">
        <v>337</v>
      </c>
      <c r="M202" s="23">
        <v>5</v>
      </c>
      <c r="N202" s="25" t="s">
        <v>375</v>
      </c>
      <c r="O202" s="31"/>
      <c r="P202" s="25" t="s">
        <v>3254</v>
      </c>
      <c r="Q202" s="31" t="s">
        <v>3366</v>
      </c>
    </row>
    <row r="203" spans="1:17" x14ac:dyDescent="0.45">
      <c r="A203" s="23">
        <v>182</v>
      </c>
      <c r="B203" s="23" t="s">
        <v>105</v>
      </c>
      <c r="C203" s="36" t="s">
        <v>12</v>
      </c>
      <c r="E203" s="23">
        <v>2281</v>
      </c>
      <c r="F203" s="23">
        <v>181</v>
      </c>
      <c r="G203" s="23">
        <v>169</v>
      </c>
      <c r="H203" s="23">
        <v>186</v>
      </c>
      <c r="I203" s="23" t="s">
        <v>337</v>
      </c>
      <c r="J203" s="23" t="s">
        <v>337</v>
      </c>
      <c r="M203" s="23">
        <v>3</v>
      </c>
      <c r="N203" s="36" t="s">
        <v>1140</v>
      </c>
      <c r="O203" s="25"/>
      <c r="P203" s="36" t="s">
        <v>3255</v>
      </c>
      <c r="Q203" s="31" t="s">
        <v>3338</v>
      </c>
    </row>
    <row r="204" spans="1:17" x14ac:dyDescent="0.45">
      <c r="A204" s="23">
        <v>183</v>
      </c>
      <c r="B204" s="23" t="s">
        <v>1139</v>
      </c>
      <c r="C204" s="39" t="s">
        <v>111</v>
      </c>
      <c r="D204" s="40" t="s">
        <v>61</v>
      </c>
      <c r="E204" s="23">
        <v>461</v>
      </c>
      <c r="F204" s="23">
        <v>172</v>
      </c>
      <c r="G204" s="23">
        <v>37</v>
      </c>
      <c r="H204" s="23">
        <v>93</v>
      </c>
      <c r="I204" s="23" t="s">
        <v>337</v>
      </c>
      <c r="K204" s="23" t="s">
        <v>337</v>
      </c>
      <c r="M204" s="23">
        <v>3</v>
      </c>
      <c r="N204" s="39" t="s">
        <v>529</v>
      </c>
      <c r="O204" s="36"/>
      <c r="P204" s="39" t="s">
        <v>1138</v>
      </c>
    </row>
    <row r="205" spans="1:17" x14ac:dyDescent="0.45">
      <c r="A205" s="23">
        <v>184</v>
      </c>
      <c r="B205" s="23" t="s">
        <v>1137</v>
      </c>
      <c r="C205" s="39" t="s">
        <v>111</v>
      </c>
      <c r="D205" s="40" t="s">
        <v>61</v>
      </c>
      <c r="E205" s="23">
        <v>1588</v>
      </c>
      <c r="F205" s="23">
        <v>225</v>
      </c>
      <c r="G205" s="23">
        <v>112</v>
      </c>
      <c r="H205" s="23">
        <v>152</v>
      </c>
      <c r="I205" s="23" t="s">
        <v>337</v>
      </c>
      <c r="K205" s="23" t="s">
        <v>337</v>
      </c>
      <c r="M205" s="23">
        <v>3</v>
      </c>
      <c r="N205" s="39" t="s">
        <v>821</v>
      </c>
      <c r="O205" s="39"/>
      <c r="P205" s="40" t="s">
        <v>1136</v>
      </c>
    </row>
    <row r="206" spans="1:17" x14ac:dyDescent="0.45">
      <c r="A206" s="23">
        <v>185</v>
      </c>
      <c r="B206" s="23" t="s">
        <v>42</v>
      </c>
      <c r="C206" s="41" t="s">
        <v>43</v>
      </c>
      <c r="D206" s="40"/>
      <c r="E206" s="23">
        <v>2148</v>
      </c>
      <c r="F206" s="23">
        <v>172</v>
      </c>
      <c r="G206" s="23">
        <v>167</v>
      </c>
      <c r="H206" s="23">
        <v>176</v>
      </c>
      <c r="I206" s="23" t="s">
        <v>337</v>
      </c>
      <c r="K206" s="23" t="s">
        <v>337</v>
      </c>
      <c r="M206" s="23">
        <v>5</v>
      </c>
      <c r="N206" s="41" t="s">
        <v>579</v>
      </c>
      <c r="O206" s="39"/>
      <c r="P206" s="41" t="s">
        <v>1135</v>
      </c>
    </row>
    <row r="207" spans="1:17" x14ac:dyDescent="0.45">
      <c r="A207" s="23">
        <v>186</v>
      </c>
      <c r="B207" s="23" t="s">
        <v>237</v>
      </c>
      <c r="C207" s="39" t="s">
        <v>111</v>
      </c>
      <c r="E207" s="23">
        <v>2449</v>
      </c>
      <c r="F207" s="23">
        <v>207</v>
      </c>
      <c r="G207" s="23">
        <v>174</v>
      </c>
      <c r="H207" s="23">
        <v>179</v>
      </c>
      <c r="I207" s="23" t="s">
        <v>337</v>
      </c>
      <c r="J207" s="23" t="s">
        <v>337</v>
      </c>
      <c r="M207" s="23">
        <v>3</v>
      </c>
      <c r="N207" s="39" t="s">
        <v>1134</v>
      </c>
      <c r="O207" s="41"/>
      <c r="P207" s="39" t="s">
        <v>3256</v>
      </c>
      <c r="Q207" s="31" t="s">
        <v>3377</v>
      </c>
    </row>
    <row r="208" spans="1:17" x14ac:dyDescent="0.45">
      <c r="A208" s="23">
        <v>187</v>
      </c>
      <c r="B208" s="23" t="s">
        <v>1133</v>
      </c>
      <c r="C208" s="38" t="s">
        <v>72</v>
      </c>
      <c r="D208" s="36" t="s">
        <v>12</v>
      </c>
      <c r="E208" s="23">
        <v>600</v>
      </c>
      <c r="F208" s="23">
        <v>111</v>
      </c>
      <c r="G208" s="23">
        <v>67</v>
      </c>
      <c r="H208" s="23">
        <v>94</v>
      </c>
      <c r="K208" s="23" t="s">
        <v>337</v>
      </c>
      <c r="M208" s="23">
        <v>3</v>
      </c>
      <c r="N208" s="31" t="s">
        <v>623</v>
      </c>
      <c r="O208" s="39"/>
      <c r="P208" s="36" t="s">
        <v>1132</v>
      </c>
    </row>
    <row r="209" spans="1:17" x14ac:dyDescent="0.45">
      <c r="A209" s="23">
        <v>188</v>
      </c>
      <c r="B209" s="23" t="s">
        <v>1131</v>
      </c>
      <c r="C209" s="38" t="s">
        <v>72</v>
      </c>
      <c r="D209" s="36" t="s">
        <v>12</v>
      </c>
      <c r="E209" s="23">
        <v>976</v>
      </c>
      <c r="F209" s="23">
        <v>146</v>
      </c>
      <c r="G209" s="23">
        <v>91</v>
      </c>
      <c r="H209" s="23">
        <v>120</v>
      </c>
      <c r="K209" s="23" t="s">
        <v>337</v>
      </c>
      <c r="M209" s="23">
        <v>3</v>
      </c>
      <c r="N209" s="31" t="s">
        <v>623</v>
      </c>
      <c r="O209" s="31"/>
      <c r="P209" s="36" t="s">
        <v>1130</v>
      </c>
    </row>
    <row r="210" spans="1:17" x14ac:dyDescent="0.45">
      <c r="A210" s="23">
        <v>189</v>
      </c>
      <c r="B210" s="23" t="s">
        <v>1129</v>
      </c>
      <c r="C210" s="38" t="s">
        <v>72</v>
      </c>
      <c r="D210" s="36" t="s">
        <v>12</v>
      </c>
      <c r="E210" s="23">
        <v>1636</v>
      </c>
      <c r="F210" s="23">
        <v>181</v>
      </c>
      <c r="G210" s="23">
        <v>118</v>
      </c>
      <c r="H210" s="23">
        <v>183</v>
      </c>
      <c r="K210" s="23" t="s">
        <v>337</v>
      </c>
      <c r="M210" s="23">
        <v>3</v>
      </c>
      <c r="N210" s="36" t="s">
        <v>1128</v>
      </c>
      <c r="O210" s="31"/>
      <c r="P210" s="36" t="s">
        <v>1127</v>
      </c>
    </row>
    <row r="211" spans="1:17" x14ac:dyDescent="0.45">
      <c r="A211" s="23">
        <v>190</v>
      </c>
      <c r="B211" s="23" t="s">
        <v>1126</v>
      </c>
      <c r="C211" s="31" t="s">
        <v>68</v>
      </c>
      <c r="D211" s="36"/>
      <c r="E211" s="23">
        <v>1348</v>
      </c>
      <c r="F211" s="23">
        <v>146</v>
      </c>
      <c r="G211" s="23">
        <v>136</v>
      </c>
      <c r="H211" s="23">
        <v>112</v>
      </c>
      <c r="I211" s="23" t="s">
        <v>337</v>
      </c>
      <c r="K211" s="23" t="s">
        <v>337</v>
      </c>
      <c r="M211" s="23">
        <v>3</v>
      </c>
      <c r="N211" s="34" t="s">
        <v>612</v>
      </c>
      <c r="O211" s="36"/>
      <c r="P211" s="31" t="s">
        <v>1125</v>
      </c>
    </row>
    <row r="212" spans="1:17" x14ac:dyDescent="0.45">
      <c r="A212" s="23">
        <v>191</v>
      </c>
      <c r="B212" s="23" t="s">
        <v>1124</v>
      </c>
      <c r="C212" s="36" t="s">
        <v>12</v>
      </c>
      <c r="E212" s="23">
        <v>395</v>
      </c>
      <c r="F212" s="23">
        <v>102</v>
      </c>
      <c r="G212" s="23">
        <v>55</v>
      </c>
      <c r="H212" s="23">
        <v>55</v>
      </c>
      <c r="I212" s="23" t="s">
        <v>337</v>
      </c>
      <c r="K212" s="23" t="s">
        <v>337</v>
      </c>
      <c r="M212" s="23">
        <v>3</v>
      </c>
      <c r="N212" s="31" t="s">
        <v>1123</v>
      </c>
      <c r="O212" s="34"/>
      <c r="P212" s="36" t="s">
        <v>944</v>
      </c>
    </row>
    <row r="213" spans="1:17" x14ac:dyDescent="0.45">
      <c r="A213" s="23">
        <v>192</v>
      </c>
      <c r="B213" s="23" t="s">
        <v>1122</v>
      </c>
      <c r="C213" s="36" t="s">
        <v>12</v>
      </c>
      <c r="E213" s="23">
        <v>2141</v>
      </c>
      <c r="F213" s="23">
        <v>181</v>
      </c>
      <c r="G213" s="23">
        <v>185</v>
      </c>
      <c r="H213" s="23">
        <v>135</v>
      </c>
      <c r="I213" s="23" t="s">
        <v>337</v>
      </c>
      <c r="M213" s="23">
        <v>3</v>
      </c>
      <c r="N213" s="36" t="s">
        <v>620</v>
      </c>
      <c r="O213" s="31"/>
      <c r="P213" s="36" t="s">
        <v>1121</v>
      </c>
    </row>
    <row r="214" spans="1:17" x14ac:dyDescent="0.45">
      <c r="A214" s="23">
        <v>193</v>
      </c>
      <c r="B214" s="23" t="s">
        <v>1120</v>
      </c>
      <c r="C214" s="38" t="s">
        <v>72</v>
      </c>
      <c r="D214" s="32" t="s">
        <v>29</v>
      </c>
      <c r="E214" s="23">
        <v>1470</v>
      </c>
      <c r="F214" s="23">
        <v>163</v>
      </c>
      <c r="G214" s="23">
        <v>154</v>
      </c>
      <c r="H214" s="23">
        <v>94</v>
      </c>
      <c r="I214" s="23" t="s">
        <v>337</v>
      </c>
      <c r="K214" s="23" t="s">
        <v>337</v>
      </c>
      <c r="M214" s="23">
        <v>3</v>
      </c>
      <c r="N214" s="38" t="s">
        <v>684</v>
      </c>
      <c r="O214" s="36"/>
      <c r="P214" s="32" t="s">
        <v>1119</v>
      </c>
    </row>
    <row r="215" spans="1:17" x14ac:dyDescent="0.45">
      <c r="A215" s="23">
        <v>194</v>
      </c>
      <c r="B215" s="23" t="s">
        <v>1118</v>
      </c>
      <c r="C215" s="35" t="s">
        <v>3</v>
      </c>
      <c r="D215" s="39" t="s">
        <v>111</v>
      </c>
      <c r="E215" s="23">
        <v>641</v>
      </c>
      <c r="F215" s="23">
        <v>146</v>
      </c>
      <c r="G215" s="23">
        <v>75</v>
      </c>
      <c r="H215" s="23">
        <v>66</v>
      </c>
      <c r="K215" s="23" t="s">
        <v>337</v>
      </c>
      <c r="M215" s="23">
        <v>3</v>
      </c>
      <c r="N215" s="35" t="s">
        <v>824</v>
      </c>
      <c r="O215" s="38"/>
      <c r="P215" s="35" t="s">
        <v>1117</v>
      </c>
    </row>
    <row r="216" spans="1:17" x14ac:dyDescent="0.45">
      <c r="A216" s="23">
        <v>195</v>
      </c>
      <c r="B216" s="23" t="s">
        <v>1116</v>
      </c>
      <c r="C216" s="35" t="s">
        <v>3</v>
      </c>
      <c r="D216" s="39" t="s">
        <v>111</v>
      </c>
      <c r="E216" s="23">
        <v>1992</v>
      </c>
      <c r="F216" s="23">
        <v>216</v>
      </c>
      <c r="G216" s="23">
        <v>152</v>
      </c>
      <c r="H216" s="23">
        <v>143</v>
      </c>
      <c r="K216" s="23" t="s">
        <v>337</v>
      </c>
      <c r="M216" s="23">
        <v>3</v>
      </c>
      <c r="N216" s="35" t="s">
        <v>824</v>
      </c>
      <c r="O216" s="35"/>
      <c r="P216" s="37" t="s">
        <v>1115</v>
      </c>
    </row>
    <row r="217" spans="1:17" x14ac:dyDescent="0.45">
      <c r="A217" s="23">
        <v>196</v>
      </c>
      <c r="B217" s="23" t="s">
        <v>1114</v>
      </c>
      <c r="C217" s="27" t="s">
        <v>18</v>
      </c>
      <c r="D217" s="39"/>
      <c r="E217" s="23">
        <v>3170</v>
      </c>
      <c r="F217" s="23">
        <v>163</v>
      </c>
      <c r="G217" s="23">
        <v>261</v>
      </c>
      <c r="H217" s="23">
        <v>175</v>
      </c>
      <c r="I217" s="23" t="s">
        <v>337</v>
      </c>
      <c r="M217" s="23">
        <v>5</v>
      </c>
      <c r="N217" s="27" t="s">
        <v>1113</v>
      </c>
      <c r="O217" s="35"/>
      <c r="P217" s="27" t="s">
        <v>3257</v>
      </c>
      <c r="Q217" s="31" t="s">
        <v>1567</v>
      </c>
    </row>
    <row r="218" spans="1:17" x14ac:dyDescent="0.45">
      <c r="A218" s="23">
        <v>197</v>
      </c>
      <c r="B218" s="23" t="s">
        <v>1112</v>
      </c>
      <c r="C218" s="29" t="s">
        <v>78</v>
      </c>
      <c r="E218" s="23">
        <v>2137</v>
      </c>
      <c r="F218" s="23">
        <v>216</v>
      </c>
      <c r="G218" s="23">
        <v>126</v>
      </c>
      <c r="H218" s="23">
        <v>240</v>
      </c>
      <c r="I218" s="23" t="s">
        <v>337</v>
      </c>
      <c r="M218" s="23">
        <v>5</v>
      </c>
      <c r="N218" s="29" t="s">
        <v>467</v>
      </c>
      <c r="O218" s="27"/>
      <c r="P218" s="29" t="s">
        <v>3258</v>
      </c>
      <c r="Q218" s="31" t="s">
        <v>1567</v>
      </c>
    </row>
    <row r="219" spans="1:17" x14ac:dyDescent="0.45">
      <c r="A219" s="23">
        <v>198</v>
      </c>
      <c r="B219" s="23" t="s">
        <v>1111</v>
      </c>
      <c r="C219" s="38" t="s">
        <v>72</v>
      </c>
      <c r="D219" s="29" t="s">
        <v>78</v>
      </c>
      <c r="E219" s="23">
        <v>1562</v>
      </c>
      <c r="F219" s="23">
        <v>155</v>
      </c>
      <c r="G219" s="23">
        <v>175</v>
      </c>
      <c r="H219" s="23">
        <v>87</v>
      </c>
      <c r="I219" s="23" t="s">
        <v>337</v>
      </c>
      <c r="K219" s="23" t="s">
        <v>337</v>
      </c>
      <c r="M219" s="23">
        <v>3</v>
      </c>
      <c r="N219" s="29" t="s">
        <v>1110</v>
      </c>
      <c r="O219" s="29"/>
      <c r="P219" s="29" t="s">
        <v>1109</v>
      </c>
    </row>
    <row r="220" spans="1:17" x14ac:dyDescent="0.45">
      <c r="A220" s="23">
        <v>199</v>
      </c>
      <c r="B220" s="23" t="s">
        <v>1108</v>
      </c>
      <c r="C220" s="39" t="s">
        <v>111</v>
      </c>
      <c r="D220" s="27" t="s">
        <v>18</v>
      </c>
      <c r="E220" s="23">
        <v>2545</v>
      </c>
      <c r="F220" s="23">
        <v>216</v>
      </c>
      <c r="G220" s="23">
        <v>177</v>
      </c>
      <c r="H220" s="23">
        <v>180</v>
      </c>
      <c r="M220" s="23">
        <v>3</v>
      </c>
      <c r="N220" s="27" t="s">
        <v>760</v>
      </c>
      <c r="O220" s="29"/>
      <c r="P220" s="27" t="s">
        <v>1107</v>
      </c>
    </row>
    <row r="221" spans="1:17" x14ac:dyDescent="0.45">
      <c r="A221" s="23">
        <v>200</v>
      </c>
      <c r="B221" s="23" t="s">
        <v>1106</v>
      </c>
      <c r="C221" s="34" t="s">
        <v>16</v>
      </c>
      <c r="D221" s="27"/>
      <c r="E221" s="23">
        <v>1926</v>
      </c>
      <c r="F221" s="23">
        <v>155</v>
      </c>
      <c r="G221" s="23">
        <v>167</v>
      </c>
      <c r="H221" s="23">
        <v>154</v>
      </c>
      <c r="I221" s="23" t="s">
        <v>337</v>
      </c>
      <c r="K221" s="23" t="s">
        <v>337</v>
      </c>
      <c r="M221" s="23">
        <v>3</v>
      </c>
      <c r="N221" s="34" t="s">
        <v>496</v>
      </c>
      <c r="O221" s="27"/>
      <c r="P221" s="29" t="s">
        <v>1105</v>
      </c>
    </row>
    <row r="222" spans="1:17" x14ac:dyDescent="0.45">
      <c r="A222" s="23">
        <v>201</v>
      </c>
      <c r="B222" s="23" t="s">
        <v>1104</v>
      </c>
      <c r="C222" s="27" t="s">
        <v>18</v>
      </c>
      <c r="E222" s="23">
        <v>1185</v>
      </c>
      <c r="F222" s="23">
        <v>134</v>
      </c>
      <c r="G222" s="23">
        <v>136</v>
      </c>
      <c r="H222" s="23">
        <v>91</v>
      </c>
      <c r="K222" s="23" t="s">
        <v>337</v>
      </c>
      <c r="M222" s="23">
        <v>5</v>
      </c>
      <c r="N222" s="35" t="s">
        <v>1103</v>
      </c>
      <c r="O222" s="34"/>
      <c r="P222" s="31" t="s">
        <v>645</v>
      </c>
    </row>
    <row r="223" spans="1:17" x14ac:dyDescent="0.45">
      <c r="A223" s="23">
        <v>202</v>
      </c>
      <c r="B223" s="23" t="s">
        <v>1102</v>
      </c>
      <c r="C223" s="27" t="s">
        <v>18</v>
      </c>
      <c r="E223" s="23">
        <v>1026</v>
      </c>
      <c r="F223" s="23">
        <v>382</v>
      </c>
      <c r="G223" s="23">
        <v>60</v>
      </c>
      <c r="H223" s="23">
        <v>106</v>
      </c>
      <c r="I223" s="23" t="s">
        <v>337</v>
      </c>
      <c r="J223" s="23" t="s">
        <v>337</v>
      </c>
      <c r="K223" s="23" t="s">
        <v>337</v>
      </c>
      <c r="M223" s="23">
        <v>3</v>
      </c>
      <c r="N223" s="40" t="s">
        <v>1101</v>
      </c>
      <c r="O223" s="35"/>
      <c r="P223" s="27" t="s">
        <v>778</v>
      </c>
      <c r="Q223" s="31" t="s">
        <v>3338</v>
      </c>
    </row>
    <row r="224" spans="1:17" x14ac:dyDescent="0.45">
      <c r="A224" s="23">
        <v>203</v>
      </c>
      <c r="B224" s="23" t="s">
        <v>1100</v>
      </c>
      <c r="C224" s="31" t="s">
        <v>68</v>
      </c>
      <c r="D224" s="27" t="s">
        <v>18</v>
      </c>
      <c r="E224" s="23">
        <v>2046</v>
      </c>
      <c r="F224" s="23">
        <v>172</v>
      </c>
      <c r="G224" s="23">
        <v>182</v>
      </c>
      <c r="H224" s="23">
        <v>133</v>
      </c>
      <c r="K224" s="23" t="s">
        <v>337</v>
      </c>
      <c r="M224" s="23">
        <v>3</v>
      </c>
      <c r="N224" s="31" t="s">
        <v>584</v>
      </c>
      <c r="O224" s="40"/>
      <c r="P224" s="25" t="s">
        <v>1099</v>
      </c>
    </row>
    <row r="225" spans="1:17" x14ac:dyDescent="0.45">
      <c r="A225" s="23">
        <v>204</v>
      </c>
      <c r="B225" s="23" t="s">
        <v>1098</v>
      </c>
      <c r="C225" s="32" t="s">
        <v>29</v>
      </c>
      <c r="D225" s="27"/>
      <c r="E225" s="23">
        <v>1108</v>
      </c>
      <c r="F225" s="23">
        <v>137</v>
      </c>
      <c r="G225" s="23">
        <v>108</v>
      </c>
      <c r="H225" s="23">
        <v>122</v>
      </c>
      <c r="I225" s="23" t="s">
        <v>337</v>
      </c>
      <c r="K225" s="23" t="s">
        <v>337</v>
      </c>
      <c r="M225" s="23">
        <v>5</v>
      </c>
      <c r="N225" s="31" t="s">
        <v>646</v>
      </c>
      <c r="O225" s="31"/>
      <c r="P225" s="41" t="s">
        <v>1097</v>
      </c>
    </row>
    <row r="226" spans="1:17" x14ac:dyDescent="0.45">
      <c r="A226" s="23">
        <v>205</v>
      </c>
      <c r="B226" s="23" t="s">
        <v>39</v>
      </c>
      <c r="C226" s="32" t="s">
        <v>29</v>
      </c>
      <c r="D226" s="26" t="s">
        <v>4</v>
      </c>
      <c r="E226" s="23">
        <v>2282</v>
      </c>
      <c r="F226" s="23">
        <v>181</v>
      </c>
      <c r="G226" s="23">
        <v>161</v>
      </c>
      <c r="H226" s="23">
        <v>205</v>
      </c>
      <c r="I226" s="23" t="s">
        <v>337</v>
      </c>
      <c r="K226" s="23" t="s">
        <v>337</v>
      </c>
      <c r="M226" s="23">
        <v>5</v>
      </c>
      <c r="N226" s="32" t="s">
        <v>677</v>
      </c>
      <c r="O226" s="31"/>
      <c r="P226" s="41" t="s">
        <v>1783</v>
      </c>
    </row>
    <row r="227" spans="1:17" x14ac:dyDescent="0.45">
      <c r="A227" s="23">
        <v>206</v>
      </c>
      <c r="B227" s="23" t="s">
        <v>1096</v>
      </c>
      <c r="C227" s="31" t="s">
        <v>68</v>
      </c>
      <c r="D227" s="26"/>
      <c r="E227" s="23">
        <v>1689</v>
      </c>
      <c r="F227" s="23">
        <v>225</v>
      </c>
      <c r="G227" s="23">
        <v>131</v>
      </c>
      <c r="H227" s="23">
        <v>128</v>
      </c>
      <c r="K227" s="23" t="s">
        <v>337</v>
      </c>
      <c r="M227" s="23">
        <v>3</v>
      </c>
      <c r="N227" s="34" t="s">
        <v>919</v>
      </c>
      <c r="O227" s="32"/>
      <c r="P227" s="35" t="s">
        <v>1095</v>
      </c>
    </row>
    <row r="228" spans="1:17" x14ac:dyDescent="0.45">
      <c r="A228" s="23">
        <v>207</v>
      </c>
      <c r="B228" s="23" t="s">
        <v>1094</v>
      </c>
      <c r="C228" s="35" t="s">
        <v>3</v>
      </c>
      <c r="D228" s="38" t="s">
        <v>72</v>
      </c>
      <c r="E228" s="23">
        <v>1857</v>
      </c>
      <c r="F228" s="23">
        <v>163</v>
      </c>
      <c r="G228" s="23">
        <v>143</v>
      </c>
      <c r="H228" s="23">
        <v>184</v>
      </c>
      <c r="I228" s="23" t="s">
        <v>337</v>
      </c>
      <c r="K228" s="23" t="s">
        <v>337</v>
      </c>
      <c r="L228" s="23">
        <v>5</v>
      </c>
      <c r="M228" s="23">
        <v>5</v>
      </c>
      <c r="N228" s="38" t="s">
        <v>504</v>
      </c>
      <c r="O228" s="34"/>
      <c r="P228" s="35" t="s">
        <v>1093</v>
      </c>
    </row>
    <row r="229" spans="1:17" x14ac:dyDescent="0.45">
      <c r="A229" s="23">
        <v>208</v>
      </c>
      <c r="B229" s="23" t="s">
        <v>2</v>
      </c>
      <c r="C229" s="35" t="s">
        <v>3</v>
      </c>
      <c r="D229" s="26" t="s">
        <v>4</v>
      </c>
      <c r="E229" s="23">
        <v>2414</v>
      </c>
      <c r="F229" s="23">
        <v>181</v>
      </c>
      <c r="G229" s="23">
        <v>148</v>
      </c>
      <c r="H229" s="23">
        <v>272</v>
      </c>
      <c r="I229" s="23" t="s">
        <v>337</v>
      </c>
      <c r="M229" s="23">
        <v>5</v>
      </c>
      <c r="N229" s="26" t="s">
        <v>1092</v>
      </c>
      <c r="O229" s="38"/>
      <c r="P229" s="29" t="s">
        <v>1091</v>
      </c>
    </row>
    <row r="230" spans="1:17" x14ac:dyDescent="0.45">
      <c r="A230" s="23">
        <v>209</v>
      </c>
      <c r="B230" s="23" t="s">
        <v>1090</v>
      </c>
      <c r="C230" s="40" t="s">
        <v>61</v>
      </c>
      <c r="D230" s="26"/>
      <c r="E230" s="23">
        <v>1237</v>
      </c>
      <c r="F230" s="23">
        <v>155</v>
      </c>
      <c r="G230" s="23">
        <v>137</v>
      </c>
      <c r="H230" s="23">
        <v>85</v>
      </c>
      <c r="I230" s="23" t="s">
        <v>337</v>
      </c>
      <c r="K230" s="23" t="s">
        <v>337</v>
      </c>
      <c r="M230" s="23">
        <v>3</v>
      </c>
      <c r="N230" s="29" t="s">
        <v>441</v>
      </c>
      <c r="O230" s="26"/>
      <c r="P230" s="29" t="s">
        <v>1089</v>
      </c>
    </row>
    <row r="231" spans="1:17" x14ac:dyDescent="0.45">
      <c r="A231" s="23">
        <v>210</v>
      </c>
      <c r="B231" s="23" t="s">
        <v>285</v>
      </c>
      <c r="C231" s="40" t="s">
        <v>61</v>
      </c>
      <c r="E231" s="23">
        <v>2552</v>
      </c>
      <c r="F231" s="23">
        <v>207</v>
      </c>
      <c r="G231" s="23">
        <v>212</v>
      </c>
      <c r="H231" s="23">
        <v>131</v>
      </c>
      <c r="I231" s="23" t="s">
        <v>337</v>
      </c>
      <c r="K231" s="23" t="s">
        <v>337</v>
      </c>
      <c r="M231" s="23">
        <v>3</v>
      </c>
      <c r="N231" s="40" t="s">
        <v>1088</v>
      </c>
      <c r="O231" s="29"/>
      <c r="P231" s="28" t="s">
        <v>1087</v>
      </c>
    </row>
    <row r="232" spans="1:17" x14ac:dyDescent="0.45">
      <c r="A232" s="23">
        <v>211</v>
      </c>
      <c r="B232" s="23" t="s">
        <v>1086</v>
      </c>
      <c r="C232" s="37" t="s">
        <v>32</v>
      </c>
      <c r="D232" s="39" t="s">
        <v>111</v>
      </c>
      <c r="E232" s="23">
        <v>2051</v>
      </c>
      <c r="F232" s="23">
        <v>163</v>
      </c>
      <c r="G232" s="23">
        <v>184</v>
      </c>
      <c r="H232" s="23">
        <v>138</v>
      </c>
      <c r="K232" s="23" t="s">
        <v>337</v>
      </c>
      <c r="M232" s="23">
        <v>3</v>
      </c>
      <c r="N232" s="37" t="s">
        <v>1085</v>
      </c>
      <c r="O232" s="40"/>
      <c r="P232" s="39" t="s">
        <v>1784</v>
      </c>
    </row>
    <row r="233" spans="1:17" x14ac:dyDescent="0.45">
      <c r="A233" s="23">
        <v>212</v>
      </c>
      <c r="B233" s="23" t="s">
        <v>28</v>
      </c>
      <c r="C233" s="32" t="s">
        <v>29</v>
      </c>
      <c r="D233" s="26" t="s">
        <v>4</v>
      </c>
      <c r="E233" s="23">
        <v>3001</v>
      </c>
      <c r="F233" s="23">
        <v>172</v>
      </c>
      <c r="G233" s="23">
        <v>236</v>
      </c>
      <c r="H233" s="23">
        <v>181</v>
      </c>
      <c r="I233" s="23" t="s">
        <v>337</v>
      </c>
      <c r="J233" s="23" t="s">
        <v>337</v>
      </c>
      <c r="M233" s="23">
        <v>5</v>
      </c>
      <c r="N233" s="26" t="s">
        <v>1084</v>
      </c>
      <c r="O233" s="37"/>
      <c r="P233" s="26" t="s">
        <v>3259</v>
      </c>
      <c r="Q233" s="31" t="s">
        <v>3338</v>
      </c>
    </row>
    <row r="234" spans="1:17" x14ac:dyDescent="0.45">
      <c r="A234" s="23">
        <v>213</v>
      </c>
      <c r="B234" s="23" t="s">
        <v>1083</v>
      </c>
      <c r="C234" s="32" t="s">
        <v>29</v>
      </c>
      <c r="D234" s="41" t="s">
        <v>43</v>
      </c>
      <c r="E234" s="23">
        <v>405</v>
      </c>
      <c r="F234" s="23">
        <v>85</v>
      </c>
      <c r="G234" s="23">
        <v>17</v>
      </c>
      <c r="H234" s="23">
        <v>396</v>
      </c>
      <c r="I234" s="23" t="s">
        <v>337</v>
      </c>
      <c r="K234" s="23" t="s">
        <v>337</v>
      </c>
      <c r="M234" s="23">
        <v>3</v>
      </c>
      <c r="N234" s="41" t="s">
        <v>1082</v>
      </c>
      <c r="O234" s="26"/>
      <c r="P234" s="26" t="s">
        <v>1081</v>
      </c>
    </row>
    <row r="235" spans="1:17" x14ac:dyDescent="0.45">
      <c r="A235" s="23">
        <v>214</v>
      </c>
      <c r="B235" s="23" t="s">
        <v>1080</v>
      </c>
      <c r="C235" s="28" t="s">
        <v>47</v>
      </c>
      <c r="D235" s="32" t="s">
        <v>29</v>
      </c>
      <c r="E235" s="23">
        <v>3101</v>
      </c>
      <c r="F235" s="23">
        <v>190</v>
      </c>
      <c r="G235" s="23">
        <v>234</v>
      </c>
      <c r="H235" s="23">
        <v>179</v>
      </c>
      <c r="K235" s="23" t="s">
        <v>337</v>
      </c>
      <c r="L235" s="23">
        <v>5</v>
      </c>
      <c r="M235" s="23">
        <v>3</v>
      </c>
      <c r="N235" s="28" t="s">
        <v>1079</v>
      </c>
      <c r="O235" s="41"/>
      <c r="P235" s="28" t="s">
        <v>1078</v>
      </c>
    </row>
    <row r="236" spans="1:17" x14ac:dyDescent="0.45">
      <c r="A236" s="23">
        <v>215</v>
      </c>
      <c r="B236" s="23" t="s">
        <v>1077</v>
      </c>
      <c r="C236" s="42" t="s">
        <v>62</v>
      </c>
      <c r="D236" s="29" t="s">
        <v>78</v>
      </c>
      <c r="E236" s="23">
        <v>2051</v>
      </c>
      <c r="F236" s="23">
        <v>146</v>
      </c>
      <c r="G236" s="23">
        <v>189</v>
      </c>
      <c r="H236" s="23">
        <v>146</v>
      </c>
      <c r="I236" s="23" t="s">
        <v>337</v>
      </c>
      <c r="J236" s="23" t="s">
        <v>337</v>
      </c>
      <c r="K236" s="23" t="s">
        <v>337</v>
      </c>
      <c r="M236" s="23">
        <v>3</v>
      </c>
      <c r="N236" s="42" t="s">
        <v>1076</v>
      </c>
      <c r="O236" s="28"/>
      <c r="P236" s="29" t="s">
        <v>3260</v>
      </c>
      <c r="Q236" s="31" t="s">
        <v>3338</v>
      </c>
    </row>
    <row r="237" spans="1:17" x14ac:dyDescent="0.45">
      <c r="A237" s="23">
        <v>216</v>
      </c>
      <c r="B237" s="23" t="s">
        <v>1075</v>
      </c>
      <c r="C237" s="31" t="s">
        <v>68</v>
      </c>
      <c r="D237" s="29"/>
      <c r="E237" s="23">
        <v>1328</v>
      </c>
      <c r="F237" s="23">
        <v>155</v>
      </c>
      <c r="G237" s="23">
        <v>142</v>
      </c>
      <c r="H237" s="23">
        <v>93</v>
      </c>
      <c r="K237" s="23" t="s">
        <v>337</v>
      </c>
      <c r="M237" s="23">
        <v>3</v>
      </c>
      <c r="N237" s="34" t="s">
        <v>1074</v>
      </c>
      <c r="O237" s="42"/>
      <c r="P237" s="29" t="s">
        <v>1073</v>
      </c>
    </row>
    <row r="238" spans="1:17" x14ac:dyDescent="0.45">
      <c r="A238" s="23">
        <v>217</v>
      </c>
      <c r="B238" s="23" t="s">
        <v>113</v>
      </c>
      <c r="C238" s="31" t="s">
        <v>68</v>
      </c>
      <c r="E238" s="23">
        <v>2945</v>
      </c>
      <c r="F238" s="23">
        <v>207</v>
      </c>
      <c r="G238" s="23">
        <v>236</v>
      </c>
      <c r="H238" s="23">
        <v>144</v>
      </c>
      <c r="K238" s="23" t="s">
        <v>337</v>
      </c>
      <c r="M238" s="23">
        <v>3</v>
      </c>
      <c r="N238" s="28" t="s">
        <v>1072</v>
      </c>
      <c r="O238" s="34"/>
      <c r="P238" s="28" t="s">
        <v>1071</v>
      </c>
    </row>
    <row r="239" spans="1:17" x14ac:dyDescent="0.45">
      <c r="A239" s="23">
        <v>218</v>
      </c>
      <c r="B239" s="23" t="s">
        <v>1070</v>
      </c>
      <c r="C239" s="33" t="s">
        <v>22</v>
      </c>
      <c r="E239" s="23">
        <v>895</v>
      </c>
      <c r="F239" s="23">
        <v>120</v>
      </c>
      <c r="G239" s="23">
        <v>118</v>
      </c>
      <c r="H239" s="23">
        <v>71</v>
      </c>
      <c r="K239" s="23" t="s">
        <v>337</v>
      </c>
      <c r="M239" s="23">
        <v>1</v>
      </c>
      <c r="N239" s="41" t="s">
        <v>1067</v>
      </c>
      <c r="O239" s="28"/>
      <c r="P239" s="41" t="s">
        <v>1069</v>
      </c>
    </row>
    <row r="240" spans="1:17" x14ac:dyDescent="0.45">
      <c r="A240" s="23">
        <v>219</v>
      </c>
      <c r="B240" s="23" t="s">
        <v>1068</v>
      </c>
      <c r="C240" s="41" t="s">
        <v>43</v>
      </c>
      <c r="D240" s="33" t="s">
        <v>22</v>
      </c>
      <c r="E240" s="23">
        <v>1702</v>
      </c>
      <c r="F240" s="23">
        <v>137</v>
      </c>
      <c r="G240" s="23">
        <v>139</v>
      </c>
      <c r="H240" s="23">
        <v>191</v>
      </c>
      <c r="K240" s="23" t="s">
        <v>337</v>
      </c>
      <c r="M240" s="23">
        <v>1</v>
      </c>
      <c r="N240" s="41" t="s">
        <v>1067</v>
      </c>
      <c r="O240" s="41"/>
      <c r="P240" s="33" t="s">
        <v>1066</v>
      </c>
    </row>
    <row r="241" spans="1:17" x14ac:dyDescent="0.45">
      <c r="A241" s="23">
        <v>220</v>
      </c>
      <c r="B241" s="23" t="s">
        <v>1065</v>
      </c>
      <c r="C241" s="35" t="s">
        <v>3</v>
      </c>
      <c r="D241" s="42" t="s">
        <v>62</v>
      </c>
      <c r="E241" s="23">
        <v>741</v>
      </c>
      <c r="F241" s="23">
        <v>137</v>
      </c>
      <c r="G241" s="23">
        <v>90</v>
      </c>
      <c r="H241" s="23">
        <v>69</v>
      </c>
      <c r="I241" s="23" t="s">
        <v>337</v>
      </c>
      <c r="K241" s="23" t="s">
        <v>337</v>
      </c>
      <c r="M241" s="23">
        <v>3</v>
      </c>
      <c r="N241" s="42" t="s">
        <v>795</v>
      </c>
      <c r="O241" s="41"/>
      <c r="P241" s="41" t="s">
        <v>1064</v>
      </c>
    </row>
    <row r="242" spans="1:17" x14ac:dyDescent="0.45">
      <c r="A242" s="23">
        <v>221</v>
      </c>
      <c r="B242" s="23" t="s">
        <v>1063</v>
      </c>
      <c r="C242" s="35" t="s">
        <v>3</v>
      </c>
      <c r="D242" s="42" t="s">
        <v>62</v>
      </c>
      <c r="E242" s="23">
        <v>2345</v>
      </c>
      <c r="F242" s="23">
        <v>225</v>
      </c>
      <c r="G242" s="23">
        <v>181</v>
      </c>
      <c r="H242" s="23">
        <v>138</v>
      </c>
      <c r="I242" s="23" t="s">
        <v>337</v>
      </c>
      <c r="K242" s="23" t="s">
        <v>337</v>
      </c>
      <c r="M242" s="23">
        <v>3</v>
      </c>
      <c r="N242" s="42" t="s">
        <v>526</v>
      </c>
      <c r="O242" s="42"/>
      <c r="P242" s="35" t="s">
        <v>502</v>
      </c>
    </row>
    <row r="243" spans="1:17" x14ac:dyDescent="0.45">
      <c r="A243" s="23">
        <v>222</v>
      </c>
      <c r="B243" s="23" t="s">
        <v>1062</v>
      </c>
      <c r="C243" s="41" t="s">
        <v>43</v>
      </c>
      <c r="D243" s="39" t="s">
        <v>111</v>
      </c>
      <c r="E243" s="23">
        <v>1378</v>
      </c>
      <c r="F243" s="23">
        <v>146</v>
      </c>
      <c r="G243" s="23">
        <v>118</v>
      </c>
      <c r="H243" s="23">
        <v>156</v>
      </c>
      <c r="K243" s="23" t="s">
        <v>337</v>
      </c>
      <c r="L243" s="23">
        <v>5</v>
      </c>
      <c r="M243" s="23">
        <v>3</v>
      </c>
      <c r="N243" s="39" t="s">
        <v>529</v>
      </c>
      <c r="O243" s="42"/>
      <c r="P243" s="39" t="s">
        <v>1061</v>
      </c>
    </row>
    <row r="244" spans="1:17" x14ac:dyDescent="0.45">
      <c r="A244" s="23">
        <v>223</v>
      </c>
      <c r="B244" s="23" t="s">
        <v>1060</v>
      </c>
      <c r="C244" s="39" t="s">
        <v>111</v>
      </c>
      <c r="D244" s="39"/>
      <c r="E244" s="23">
        <v>912</v>
      </c>
      <c r="F244" s="23">
        <v>111</v>
      </c>
      <c r="G244" s="23">
        <v>127</v>
      </c>
      <c r="H244" s="23">
        <v>69</v>
      </c>
      <c r="K244" s="23" t="s">
        <v>337</v>
      </c>
      <c r="M244" s="23">
        <v>1</v>
      </c>
      <c r="N244" s="35" t="s">
        <v>824</v>
      </c>
      <c r="O244" s="39"/>
      <c r="P244" s="42" t="s">
        <v>1059</v>
      </c>
    </row>
    <row r="245" spans="1:17" x14ac:dyDescent="0.45">
      <c r="A245" s="23">
        <v>224</v>
      </c>
      <c r="B245" s="23" t="s">
        <v>252</v>
      </c>
      <c r="C245" s="39" t="s">
        <v>111</v>
      </c>
      <c r="E245" s="23">
        <v>2315</v>
      </c>
      <c r="F245" s="23">
        <v>181</v>
      </c>
      <c r="G245" s="23">
        <v>197</v>
      </c>
      <c r="H245" s="23">
        <v>141</v>
      </c>
      <c r="K245" s="23" t="s">
        <v>337</v>
      </c>
      <c r="M245" s="23">
        <v>1</v>
      </c>
      <c r="N245" s="35" t="s">
        <v>824</v>
      </c>
      <c r="O245" s="35"/>
      <c r="P245" s="37" t="s">
        <v>1785</v>
      </c>
    </row>
    <row r="246" spans="1:17" x14ac:dyDescent="0.45">
      <c r="A246" s="23">
        <v>225</v>
      </c>
      <c r="B246" s="23" t="s">
        <v>1058</v>
      </c>
      <c r="C246" s="38" t="s">
        <v>72</v>
      </c>
      <c r="D246" s="42" t="s">
        <v>62</v>
      </c>
      <c r="E246" s="23">
        <v>1094</v>
      </c>
      <c r="F246" s="23">
        <v>128</v>
      </c>
      <c r="G246" s="23">
        <v>128</v>
      </c>
      <c r="H246" s="23">
        <v>90</v>
      </c>
      <c r="I246" s="23" t="s">
        <v>337</v>
      </c>
      <c r="J246" s="23" t="s">
        <v>337</v>
      </c>
      <c r="K246" s="23" t="s">
        <v>337</v>
      </c>
      <c r="M246" s="23">
        <v>5</v>
      </c>
      <c r="N246" s="31" t="s">
        <v>1057</v>
      </c>
      <c r="O246" s="35"/>
      <c r="P246" s="42" t="s">
        <v>3261</v>
      </c>
      <c r="Q246" s="31" t="s">
        <v>3338</v>
      </c>
    </row>
    <row r="247" spans="1:17" x14ac:dyDescent="0.45">
      <c r="A247" s="23">
        <v>226</v>
      </c>
      <c r="B247" s="23" t="s">
        <v>1056</v>
      </c>
      <c r="C247" s="38" t="s">
        <v>72</v>
      </c>
      <c r="D247" s="39" t="s">
        <v>111</v>
      </c>
      <c r="E247" s="23">
        <v>2108</v>
      </c>
      <c r="F247" s="23">
        <v>163</v>
      </c>
      <c r="G247" s="23">
        <v>148</v>
      </c>
      <c r="H247" s="23">
        <v>226</v>
      </c>
      <c r="K247" s="23" t="s">
        <v>337</v>
      </c>
      <c r="M247" s="23">
        <v>5</v>
      </c>
      <c r="N247" s="39" t="s">
        <v>1055</v>
      </c>
      <c r="O247" s="31"/>
      <c r="P247" s="38" t="s">
        <v>1054</v>
      </c>
    </row>
    <row r="248" spans="1:17" x14ac:dyDescent="0.45">
      <c r="A248" s="23">
        <v>227</v>
      </c>
      <c r="B248" s="23" t="s">
        <v>230</v>
      </c>
      <c r="C248" s="38" t="s">
        <v>72</v>
      </c>
      <c r="D248" s="26" t="s">
        <v>4</v>
      </c>
      <c r="E248" s="23">
        <v>2108</v>
      </c>
      <c r="F248" s="23">
        <v>163</v>
      </c>
      <c r="G248" s="23">
        <v>148</v>
      </c>
      <c r="H248" s="23">
        <v>226</v>
      </c>
      <c r="I248" s="23" t="s">
        <v>337</v>
      </c>
      <c r="K248" s="23" t="s">
        <v>337</v>
      </c>
      <c r="L248" s="23">
        <v>5</v>
      </c>
      <c r="M248" s="23">
        <v>5</v>
      </c>
      <c r="N248" s="38" t="s">
        <v>402</v>
      </c>
      <c r="O248" s="39"/>
      <c r="P248" s="38" t="s">
        <v>1053</v>
      </c>
    </row>
    <row r="249" spans="1:17" x14ac:dyDescent="0.45">
      <c r="A249" s="23">
        <v>228</v>
      </c>
      <c r="B249" s="23" t="s">
        <v>1052</v>
      </c>
      <c r="C249" s="33" t="s">
        <v>22</v>
      </c>
      <c r="D249" s="29" t="s">
        <v>78</v>
      </c>
      <c r="E249" s="23">
        <v>1234</v>
      </c>
      <c r="F249" s="23">
        <v>128</v>
      </c>
      <c r="G249" s="23">
        <v>152</v>
      </c>
      <c r="H249" s="23">
        <v>83</v>
      </c>
      <c r="I249" s="23" t="s">
        <v>337</v>
      </c>
      <c r="J249" s="23" t="s">
        <v>337</v>
      </c>
      <c r="K249" s="23" t="s">
        <v>337</v>
      </c>
      <c r="M249" s="23">
        <v>3</v>
      </c>
      <c r="N249" s="29" t="s">
        <v>1051</v>
      </c>
      <c r="O249" s="38"/>
      <c r="P249" s="29" t="s">
        <v>3262</v>
      </c>
      <c r="Q249" s="31" t="s">
        <v>3338</v>
      </c>
    </row>
    <row r="250" spans="1:17" x14ac:dyDescent="0.45">
      <c r="A250" s="23">
        <v>229</v>
      </c>
      <c r="B250" s="23" t="s">
        <v>148</v>
      </c>
      <c r="C250" s="33" t="s">
        <v>22</v>
      </c>
      <c r="D250" s="29" t="s">
        <v>78</v>
      </c>
      <c r="E250" s="23">
        <v>2635</v>
      </c>
      <c r="F250" s="23">
        <v>181</v>
      </c>
      <c r="G250" s="23">
        <v>224</v>
      </c>
      <c r="H250" s="23">
        <v>144</v>
      </c>
      <c r="I250" s="23" t="s">
        <v>337</v>
      </c>
      <c r="J250" s="23" t="s">
        <v>337</v>
      </c>
      <c r="K250" s="23" t="s">
        <v>337</v>
      </c>
      <c r="M250" s="23">
        <v>3</v>
      </c>
      <c r="N250" s="29" t="s">
        <v>1050</v>
      </c>
      <c r="O250" s="29"/>
      <c r="P250" s="29" t="s">
        <v>3263</v>
      </c>
      <c r="Q250" s="31" t="s">
        <v>3338</v>
      </c>
    </row>
    <row r="251" spans="1:17" x14ac:dyDescent="0.45">
      <c r="A251" s="23">
        <v>230</v>
      </c>
      <c r="B251" s="23" t="s">
        <v>1049</v>
      </c>
      <c r="C251" s="39" t="s">
        <v>111</v>
      </c>
      <c r="D251" s="30" t="s">
        <v>90</v>
      </c>
      <c r="E251" s="23">
        <v>2641</v>
      </c>
      <c r="F251" s="23">
        <v>181</v>
      </c>
      <c r="G251" s="23">
        <v>194</v>
      </c>
      <c r="H251" s="23">
        <v>194</v>
      </c>
      <c r="I251" s="23" t="s">
        <v>337</v>
      </c>
      <c r="M251" s="23">
        <v>3</v>
      </c>
      <c r="N251" s="39" t="s">
        <v>1048</v>
      </c>
      <c r="O251" s="39" t="s">
        <v>121</v>
      </c>
      <c r="P251" s="39" t="s">
        <v>1786</v>
      </c>
    </row>
    <row r="252" spans="1:17" x14ac:dyDescent="0.45">
      <c r="A252" s="23">
        <v>231</v>
      </c>
      <c r="B252" s="23" t="s">
        <v>1047</v>
      </c>
      <c r="C252" s="35" t="s">
        <v>3</v>
      </c>
      <c r="D252" s="30"/>
      <c r="E252" s="23">
        <v>1206</v>
      </c>
      <c r="F252" s="23">
        <v>207</v>
      </c>
      <c r="G252" s="23">
        <v>107</v>
      </c>
      <c r="H252" s="23">
        <v>98</v>
      </c>
      <c r="K252" s="23" t="s">
        <v>337</v>
      </c>
      <c r="M252" s="23">
        <v>3</v>
      </c>
      <c r="N252" s="28" t="s">
        <v>916</v>
      </c>
      <c r="O252" s="39"/>
      <c r="P252" s="41" t="s">
        <v>1046</v>
      </c>
    </row>
    <row r="253" spans="1:17" x14ac:dyDescent="0.45">
      <c r="A253" s="23">
        <v>232</v>
      </c>
      <c r="B253" s="23" t="s">
        <v>220</v>
      </c>
      <c r="C253" s="35" t="s">
        <v>3</v>
      </c>
      <c r="E253" s="23">
        <v>3013</v>
      </c>
      <c r="F253" s="23">
        <v>207</v>
      </c>
      <c r="G253" s="23">
        <v>214</v>
      </c>
      <c r="H253" s="23">
        <v>185</v>
      </c>
      <c r="K253" s="23" t="s">
        <v>337</v>
      </c>
      <c r="M253" s="23">
        <v>3</v>
      </c>
      <c r="N253" s="40" t="s">
        <v>1045</v>
      </c>
      <c r="O253" s="28"/>
      <c r="P253" s="35" t="s">
        <v>1044</v>
      </c>
    </row>
    <row r="254" spans="1:17" x14ac:dyDescent="0.45">
      <c r="A254" s="23">
        <v>233</v>
      </c>
      <c r="B254" s="23" t="s">
        <v>165</v>
      </c>
      <c r="C254" s="31" t="s">
        <v>68</v>
      </c>
      <c r="E254" s="23">
        <v>2711</v>
      </c>
      <c r="F254" s="23">
        <v>198</v>
      </c>
      <c r="G254" s="23">
        <v>198</v>
      </c>
      <c r="H254" s="23">
        <v>180</v>
      </c>
      <c r="J254" s="23" t="s">
        <v>337</v>
      </c>
      <c r="M254" s="23">
        <v>3</v>
      </c>
      <c r="N254" s="25" t="s">
        <v>1755</v>
      </c>
      <c r="O254" s="40"/>
      <c r="P254" s="36" t="s">
        <v>3241</v>
      </c>
      <c r="Q254" s="31" t="s">
        <v>3338</v>
      </c>
    </row>
    <row r="255" spans="1:17" x14ac:dyDescent="0.45">
      <c r="A255" s="23">
        <v>234</v>
      </c>
      <c r="B255" s="23" t="s">
        <v>96</v>
      </c>
      <c r="C255" s="31" t="s">
        <v>68</v>
      </c>
      <c r="E255" s="23">
        <v>2164</v>
      </c>
      <c r="F255" s="23">
        <v>177</v>
      </c>
      <c r="G255" s="23">
        <v>192</v>
      </c>
      <c r="H255" s="23">
        <v>131</v>
      </c>
      <c r="I255" s="23" t="s">
        <v>337</v>
      </c>
      <c r="J255" s="23" t="s">
        <v>337</v>
      </c>
      <c r="K255" s="23" t="s">
        <v>337</v>
      </c>
      <c r="M255" s="23">
        <v>3</v>
      </c>
      <c r="N255" s="27" t="s">
        <v>1029</v>
      </c>
      <c r="O255" s="25"/>
      <c r="P255" s="31" t="s">
        <v>3264</v>
      </c>
      <c r="Q255" s="31" t="s">
        <v>3338</v>
      </c>
    </row>
    <row r="256" spans="1:17" x14ac:dyDescent="0.45">
      <c r="A256" s="23">
        <v>235</v>
      </c>
      <c r="B256" s="23" t="s">
        <v>1043</v>
      </c>
      <c r="C256" s="31" t="s">
        <v>68</v>
      </c>
      <c r="E256" s="23">
        <v>431</v>
      </c>
      <c r="F256" s="23">
        <v>146</v>
      </c>
      <c r="G256" s="23">
        <v>40</v>
      </c>
      <c r="H256" s="23">
        <v>83</v>
      </c>
      <c r="M256" s="23">
        <v>3</v>
      </c>
      <c r="N256" s="26" t="s">
        <v>3771</v>
      </c>
      <c r="O256" s="27"/>
      <c r="P256" s="25" t="s">
        <v>3779</v>
      </c>
    </row>
    <row r="257" spans="1:17" x14ac:dyDescent="0.45">
      <c r="A257" s="23">
        <v>236</v>
      </c>
      <c r="B257" s="23" t="s">
        <v>1042</v>
      </c>
      <c r="C257" s="28" t="s">
        <v>47</v>
      </c>
      <c r="E257" s="23">
        <v>492</v>
      </c>
      <c r="F257" s="23">
        <v>111</v>
      </c>
      <c r="G257" s="23">
        <v>64</v>
      </c>
      <c r="H257" s="23">
        <v>64</v>
      </c>
      <c r="M257" s="23">
        <v>5</v>
      </c>
      <c r="N257" s="28" t="s">
        <v>916</v>
      </c>
      <c r="O257" s="31"/>
      <c r="P257" s="41" t="s">
        <v>1041</v>
      </c>
      <c r="Q257" s="30"/>
    </row>
    <row r="258" spans="1:17" x14ac:dyDescent="0.45">
      <c r="A258" s="23">
        <v>237</v>
      </c>
      <c r="B258" s="23" t="s">
        <v>1040</v>
      </c>
      <c r="C258" s="28" t="s">
        <v>47</v>
      </c>
      <c r="E258" s="23">
        <v>2156</v>
      </c>
      <c r="F258" s="23">
        <v>137</v>
      </c>
      <c r="G258" s="23">
        <v>173</v>
      </c>
      <c r="H258" s="23">
        <v>207</v>
      </c>
      <c r="K258" s="23" t="s">
        <v>337</v>
      </c>
      <c r="M258" s="23">
        <v>5</v>
      </c>
      <c r="N258" s="28" t="s">
        <v>1039</v>
      </c>
      <c r="O258" s="28"/>
      <c r="P258" s="28" t="s">
        <v>1038</v>
      </c>
    </row>
    <row r="259" spans="1:17" x14ac:dyDescent="0.45">
      <c r="A259" s="23">
        <v>238</v>
      </c>
      <c r="B259" s="23" t="s">
        <v>1037</v>
      </c>
      <c r="C259" s="42" t="s">
        <v>62</v>
      </c>
      <c r="D259" s="27" t="s">
        <v>18</v>
      </c>
      <c r="E259" s="23">
        <v>1291</v>
      </c>
      <c r="F259" s="23">
        <v>128</v>
      </c>
      <c r="G259" s="23">
        <v>153</v>
      </c>
      <c r="H259" s="23">
        <v>91</v>
      </c>
      <c r="I259" s="23" t="s">
        <v>337</v>
      </c>
      <c r="M259" s="23">
        <v>5</v>
      </c>
      <c r="N259" s="42" t="s">
        <v>1036</v>
      </c>
      <c r="O259" s="42" t="s">
        <v>109</v>
      </c>
      <c r="P259" s="27" t="s">
        <v>1035</v>
      </c>
    </row>
    <row r="260" spans="1:17" x14ac:dyDescent="0.45">
      <c r="A260" s="23">
        <v>239</v>
      </c>
      <c r="B260" s="23" t="s">
        <v>1034</v>
      </c>
      <c r="C260" s="25" t="s">
        <v>8</v>
      </c>
      <c r="D260" s="27"/>
      <c r="E260" s="23">
        <v>1206</v>
      </c>
      <c r="F260" s="23">
        <v>128</v>
      </c>
      <c r="G260" s="23">
        <v>135</v>
      </c>
      <c r="H260" s="23">
        <v>101</v>
      </c>
      <c r="I260" s="23" t="s">
        <v>337</v>
      </c>
      <c r="M260" s="23">
        <v>5</v>
      </c>
      <c r="N260" s="28" t="s">
        <v>516</v>
      </c>
      <c r="O260" s="42"/>
      <c r="P260" s="25" t="s">
        <v>1033</v>
      </c>
      <c r="Q260" s="25" t="s">
        <v>182</v>
      </c>
    </row>
    <row r="261" spans="1:17" x14ac:dyDescent="0.45">
      <c r="A261" s="23">
        <v>240</v>
      </c>
      <c r="B261" s="23" t="s">
        <v>1032</v>
      </c>
      <c r="C261" s="33" t="s">
        <v>22</v>
      </c>
      <c r="E261" s="23">
        <v>1323</v>
      </c>
      <c r="F261" s="23">
        <v>128</v>
      </c>
      <c r="G261" s="23">
        <v>151</v>
      </c>
      <c r="H261" s="23">
        <v>99</v>
      </c>
      <c r="I261" s="23" t="s">
        <v>337</v>
      </c>
      <c r="M261" s="23">
        <v>5</v>
      </c>
      <c r="N261" s="28" t="s">
        <v>1031</v>
      </c>
      <c r="O261" s="28"/>
      <c r="P261" s="28" t="s">
        <v>1030</v>
      </c>
      <c r="Q261" s="33" t="s">
        <v>76</v>
      </c>
    </row>
    <row r="262" spans="1:17" x14ac:dyDescent="0.45">
      <c r="A262" s="23">
        <v>241</v>
      </c>
      <c r="B262" s="23" t="s">
        <v>259</v>
      </c>
      <c r="C262" s="31" t="s">
        <v>68</v>
      </c>
      <c r="E262" s="23">
        <v>2354</v>
      </c>
      <c r="F262" s="23">
        <v>216</v>
      </c>
      <c r="G262" s="23">
        <v>157</v>
      </c>
      <c r="H262" s="23">
        <v>193</v>
      </c>
      <c r="K262" s="23" t="s">
        <v>337</v>
      </c>
      <c r="M262" s="23">
        <v>5</v>
      </c>
      <c r="N262" s="27" t="s">
        <v>1029</v>
      </c>
      <c r="O262" s="28"/>
      <c r="P262" s="25" t="s">
        <v>1028</v>
      </c>
    </row>
    <row r="263" spans="1:17" x14ac:dyDescent="0.45">
      <c r="A263" s="23">
        <v>242</v>
      </c>
      <c r="B263" s="23" t="s">
        <v>289</v>
      </c>
      <c r="C263" s="31" t="s">
        <v>68</v>
      </c>
      <c r="E263" s="23">
        <v>2757</v>
      </c>
      <c r="F263" s="23">
        <v>496</v>
      </c>
      <c r="G263" s="23">
        <v>129</v>
      </c>
      <c r="H263" s="23">
        <v>169</v>
      </c>
      <c r="K263" s="23" t="s">
        <v>337</v>
      </c>
      <c r="M263" s="23">
        <v>5</v>
      </c>
      <c r="N263" s="27" t="s">
        <v>574</v>
      </c>
      <c r="O263" s="27"/>
      <c r="P263" s="27" t="s">
        <v>1008</v>
      </c>
    </row>
    <row r="264" spans="1:17" x14ac:dyDescent="0.45">
      <c r="A264" s="23">
        <v>243</v>
      </c>
      <c r="B264" s="23" t="s">
        <v>1027</v>
      </c>
      <c r="C264" s="25" t="s">
        <v>8</v>
      </c>
      <c r="E264" s="23">
        <v>3452</v>
      </c>
      <c r="F264" s="23">
        <v>207</v>
      </c>
      <c r="G264" s="23">
        <v>241</v>
      </c>
      <c r="H264" s="23">
        <v>195</v>
      </c>
      <c r="I264" s="23" t="s">
        <v>337</v>
      </c>
      <c r="M264" s="23">
        <v>20</v>
      </c>
      <c r="N264" s="25" t="s">
        <v>1026</v>
      </c>
      <c r="O264" s="27"/>
      <c r="P264" s="25" t="s">
        <v>1025</v>
      </c>
    </row>
    <row r="265" spans="1:17" x14ac:dyDescent="0.45">
      <c r="A265" s="23">
        <v>244</v>
      </c>
      <c r="B265" s="23" t="s">
        <v>1024</v>
      </c>
      <c r="C265" s="33" t="s">
        <v>22</v>
      </c>
      <c r="E265" s="23">
        <v>3473</v>
      </c>
      <c r="F265" s="23">
        <v>251</v>
      </c>
      <c r="G265" s="23">
        <v>235</v>
      </c>
      <c r="H265" s="23">
        <v>171</v>
      </c>
      <c r="I265" s="23" t="s">
        <v>337</v>
      </c>
      <c r="M265" s="23">
        <v>20</v>
      </c>
      <c r="N265" s="33" t="s">
        <v>1023</v>
      </c>
      <c r="O265" s="25"/>
      <c r="P265" s="26" t="s">
        <v>1022</v>
      </c>
    </row>
    <row r="266" spans="1:17" x14ac:dyDescent="0.45">
      <c r="A266" s="23">
        <v>245</v>
      </c>
      <c r="B266" s="23" t="s">
        <v>1021</v>
      </c>
      <c r="C266" s="39" t="s">
        <v>111</v>
      </c>
      <c r="E266" s="23">
        <v>2983</v>
      </c>
      <c r="F266" s="23">
        <v>225</v>
      </c>
      <c r="G266" s="23">
        <v>180</v>
      </c>
      <c r="H266" s="23">
        <v>235</v>
      </c>
      <c r="I266" s="23" t="s">
        <v>337</v>
      </c>
      <c r="M266" s="23">
        <v>20</v>
      </c>
      <c r="N266" s="42" t="s">
        <v>1020</v>
      </c>
      <c r="O266" s="35" t="s">
        <v>1103</v>
      </c>
      <c r="P266" s="39" t="s">
        <v>1019</v>
      </c>
    </row>
    <row r="267" spans="1:17" x14ac:dyDescent="0.45">
      <c r="A267" s="23">
        <v>246</v>
      </c>
      <c r="B267" s="23" t="s">
        <v>1018</v>
      </c>
      <c r="C267" s="35" t="s">
        <v>3</v>
      </c>
      <c r="D267" s="41" t="s">
        <v>43</v>
      </c>
      <c r="E267" s="23">
        <v>1040</v>
      </c>
      <c r="F267" s="23">
        <v>137</v>
      </c>
      <c r="G267" s="23">
        <v>115</v>
      </c>
      <c r="H267" s="23">
        <v>93</v>
      </c>
      <c r="I267" s="23" t="s">
        <v>337</v>
      </c>
      <c r="J267" s="23" t="s">
        <v>337</v>
      </c>
      <c r="K267" s="23" t="s">
        <v>337</v>
      </c>
      <c r="M267" s="23">
        <v>5</v>
      </c>
      <c r="N267" s="28" t="s">
        <v>921</v>
      </c>
      <c r="O267" s="42"/>
      <c r="P267" s="29" t="s">
        <v>3265</v>
      </c>
      <c r="Q267" s="31" t="s">
        <v>3338</v>
      </c>
    </row>
    <row r="268" spans="1:17" x14ac:dyDescent="0.45">
      <c r="A268" s="23">
        <v>247</v>
      </c>
      <c r="B268" s="23" t="s">
        <v>1017</v>
      </c>
      <c r="C268" s="35" t="s">
        <v>3</v>
      </c>
      <c r="D268" s="41" t="s">
        <v>43</v>
      </c>
      <c r="E268" s="23">
        <v>1766</v>
      </c>
      <c r="F268" s="23">
        <v>172</v>
      </c>
      <c r="G268" s="23">
        <v>155</v>
      </c>
      <c r="H268" s="23">
        <v>133</v>
      </c>
      <c r="I268" s="23" t="s">
        <v>337</v>
      </c>
      <c r="J268" s="23" t="s">
        <v>337</v>
      </c>
      <c r="K268" s="23" t="s">
        <v>337</v>
      </c>
      <c r="M268" s="23">
        <v>5</v>
      </c>
      <c r="N268" s="28" t="s">
        <v>921</v>
      </c>
      <c r="O268" s="28"/>
      <c r="P268" s="35" t="s">
        <v>3266</v>
      </c>
      <c r="Q268" s="31" t="s">
        <v>3338</v>
      </c>
    </row>
    <row r="269" spans="1:17" x14ac:dyDescent="0.45">
      <c r="A269" s="23">
        <v>248</v>
      </c>
      <c r="B269" s="23" t="s">
        <v>293</v>
      </c>
      <c r="C269" s="41" t="s">
        <v>43</v>
      </c>
      <c r="D269" s="29" t="s">
        <v>78</v>
      </c>
      <c r="E269" s="23">
        <v>3834</v>
      </c>
      <c r="F269" s="23">
        <v>225</v>
      </c>
      <c r="G269" s="23">
        <v>251</v>
      </c>
      <c r="H269" s="23">
        <v>207</v>
      </c>
      <c r="I269" s="23" t="s">
        <v>337</v>
      </c>
      <c r="J269" s="23" t="s">
        <v>337</v>
      </c>
      <c r="K269" s="23" t="s">
        <v>337</v>
      </c>
      <c r="M269" s="23">
        <v>5</v>
      </c>
      <c r="N269" s="26" t="s">
        <v>1016</v>
      </c>
      <c r="O269" s="41" t="s">
        <v>249</v>
      </c>
      <c r="P269" s="29" t="s">
        <v>3267</v>
      </c>
      <c r="Q269" s="31" t="s">
        <v>3338</v>
      </c>
    </row>
    <row r="270" spans="1:17" x14ac:dyDescent="0.45">
      <c r="A270" s="23">
        <v>249</v>
      </c>
      <c r="B270" s="23" t="s">
        <v>1015</v>
      </c>
      <c r="C270" s="38" t="s">
        <v>72</v>
      </c>
      <c r="D270" s="27" t="s">
        <v>18</v>
      </c>
      <c r="E270" s="23">
        <v>3703</v>
      </c>
      <c r="F270" s="23">
        <v>235</v>
      </c>
      <c r="G270" s="23">
        <v>193</v>
      </c>
      <c r="H270" s="23">
        <v>310</v>
      </c>
      <c r="I270" s="23" t="s">
        <v>337</v>
      </c>
      <c r="M270" s="23">
        <v>20</v>
      </c>
      <c r="N270" s="27" t="s">
        <v>1014</v>
      </c>
      <c r="O270" s="26"/>
      <c r="P270" s="38" t="s">
        <v>1013</v>
      </c>
    </row>
    <row r="271" spans="1:17" x14ac:dyDescent="0.45">
      <c r="A271" s="23">
        <v>250</v>
      </c>
      <c r="B271" s="23" t="s">
        <v>1012</v>
      </c>
      <c r="C271" s="38" t="s">
        <v>72</v>
      </c>
      <c r="D271" s="33" t="s">
        <v>22</v>
      </c>
      <c r="E271" s="23">
        <v>3863</v>
      </c>
      <c r="F271" s="23">
        <v>214</v>
      </c>
      <c r="G271" s="23">
        <v>239</v>
      </c>
      <c r="H271" s="23">
        <v>244</v>
      </c>
      <c r="I271" s="23" t="s">
        <v>337</v>
      </c>
      <c r="M271" s="23">
        <v>20</v>
      </c>
      <c r="N271" s="27" t="s">
        <v>1011</v>
      </c>
      <c r="O271" s="27"/>
      <c r="P271" s="36" t="s">
        <v>1010</v>
      </c>
    </row>
    <row r="272" spans="1:17" x14ac:dyDescent="0.45">
      <c r="A272" s="23">
        <v>251</v>
      </c>
      <c r="B272" s="23" t="s">
        <v>1009</v>
      </c>
      <c r="C272" s="36" t="s">
        <v>12</v>
      </c>
      <c r="D272" s="27" t="s">
        <v>18</v>
      </c>
      <c r="E272" s="23">
        <v>3265</v>
      </c>
      <c r="F272" s="23">
        <v>225</v>
      </c>
      <c r="G272" s="23">
        <v>210</v>
      </c>
      <c r="H272" s="23">
        <v>210</v>
      </c>
      <c r="M272" s="23">
        <v>5</v>
      </c>
      <c r="N272" s="25" t="s">
        <v>723</v>
      </c>
      <c r="O272" s="27"/>
      <c r="P272" s="27" t="s">
        <v>1761</v>
      </c>
    </row>
    <row r="273" spans="1:17" x14ac:dyDescent="0.45">
      <c r="A273" s="23">
        <v>252</v>
      </c>
      <c r="B273" s="23" t="s">
        <v>1007</v>
      </c>
      <c r="C273" s="36" t="s">
        <v>12</v>
      </c>
      <c r="D273" s="27"/>
      <c r="E273" s="23">
        <v>1053</v>
      </c>
      <c r="F273" s="23">
        <v>120</v>
      </c>
      <c r="G273" s="23">
        <v>124</v>
      </c>
      <c r="H273" s="23">
        <v>94</v>
      </c>
      <c r="I273" s="23" t="s">
        <v>337</v>
      </c>
      <c r="K273" s="23" t="s">
        <v>337</v>
      </c>
      <c r="M273" s="23">
        <v>3</v>
      </c>
      <c r="N273" s="36" t="s">
        <v>1006</v>
      </c>
      <c r="O273" s="25"/>
      <c r="P273" s="36" t="s">
        <v>1005</v>
      </c>
    </row>
    <row r="274" spans="1:17" x14ac:dyDescent="0.45">
      <c r="A274" s="23">
        <v>253</v>
      </c>
      <c r="B274" s="23" t="s">
        <v>1004</v>
      </c>
      <c r="C274" s="36" t="s">
        <v>12</v>
      </c>
      <c r="E274" s="23">
        <v>1673</v>
      </c>
      <c r="F274" s="23">
        <v>137</v>
      </c>
      <c r="G274" s="23">
        <v>172</v>
      </c>
      <c r="H274" s="23">
        <v>120</v>
      </c>
      <c r="I274" s="23" t="s">
        <v>337</v>
      </c>
      <c r="K274" s="23" t="s">
        <v>337</v>
      </c>
      <c r="M274" s="23">
        <v>3</v>
      </c>
      <c r="N274" s="36" t="s">
        <v>967</v>
      </c>
      <c r="O274" s="36"/>
      <c r="P274" s="36" t="s">
        <v>1003</v>
      </c>
    </row>
    <row r="275" spans="1:17" x14ac:dyDescent="0.45">
      <c r="A275" s="23">
        <v>254</v>
      </c>
      <c r="B275" s="23" t="s">
        <v>170</v>
      </c>
      <c r="C275" s="36" t="s">
        <v>12</v>
      </c>
      <c r="E275" s="23">
        <v>2757</v>
      </c>
      <c r="F275" s="23">
        <v>172</v>
      </c>
      <c r="G275" s="23">
        <v>223</v>
      </c>
      <c r="H275" s="23">
        <v>169</v>
      </c>
      <c r="I275" s="23" t="s">
        <v>337</v>
      </c>
      <c r="K275" s="23" t="s">
        <v>337</v>
      </c>
      <c r="M275" s="23">
        <v>3</v>
      </c>
      <c r="N275" s="36" t="s">
        <v>1002</v>
      </c>
      <c r="O275" s="36"/>
      <c r="P275" s="35" t="s">
        <v>3268</v>
      </c>
      <c r="Q275" s="36" t="s">
        <v>1565</v>
      </c>
    </row>
    <row r="276" spans="1:17" x14ac:dyDescent="0.45">
      <c r="A276" s="23">
        <v>255</v>
      </c>
      <c r="B276" s="23" t="s">
        <v>1001</v>
      </c>
      <c r="C276" s="33" t="s">
        <v>22</v>
      </c>
      <c r="E276" s="23">
        <v>1093</v>
      </c>
      <c r="F276" s="23">
        <v>128</v>
      </c>
      <c r="G276" s="23">
        <v>130</v>
      </c>
      <c r="H276" s="23">
        <v>87</v>
      </c>
      <c r="I276" s="23" t="s">
        <v>337</v>
      </c>
      <c r="K276" s="23" t="s">
        <v>337</v>
      </c>
      <c r="M276" s="23">
        <v>3</v>
      </c>
      <c r="N276" s="31" t="s">
        <v>705</v>
      </c>
      <c r="O276" s="36"/>
      <c r="P276" s="33" t="s">
        <v>454</v>
      </c>
    </row>
    <row r="277" spans="1:17" x14ac:dyDescent="0.45">
      <c r="A277" s="23">
        <v>256</v>
      </c>
      <c r="B277" s="23" t="s">
        <v>1000</v>
      </c>
      <c r="C277" s="28" t="s">
        <v>47</v>
      </c>
      <c r="D277" s="33" t="s">
        <v>22</v>
      </c>
      <c r="E277" s="23">
        <v>1652</v>
      </c>
      <c r="F277" s="23">
        <v>155</v>
      </c>
      <c r="G277" s="23">
        <v>163</v>
      </c>
      <c r="H277" s="23">
        <v>115</v>
      </c>
      <c r="I277" s="23" t="s">
        <v>337</v>
      </c>
      <c r="K277" s="23" t="s">
        <v>337</v>
      </c>
      <c r="M277" s="23">
        <v>3</v>
      </c>
      <c r="N277" s="38" t="s">
        <v>999</v>
      </c>
      <c r="O277" s="31"/>
      <c r="P277" s="41" t="s">
        <v>998</v>
      </c>
    </row>
    <row r="278" spans="1:17" x14ac:dyDescent="0.45">
      <c r="A278" s="23">
        <v>257</v>
      </c>
      <c r="B278" s="23" t="s">
        <v>301</v>
      </c>
      <c r="C278" s="28" t="s">
        <v>47</v>
      </c>
      <c r="D278" s="33" t="s">
        <v>22</v>
      </c>
      <c r="E278" s="23">
        <v>2848</v>
      </c>
      <c r="F278" s="23">
        <v>190</v>
      </c>
      <c r="G278" s="23">
        <v>240</v>
      </c>
      <c r="H278" s="23">
        <v>141</v>
      </c>
      <c r="I278" s="23" t="s">
        <v>337</v>
      </c>
      <c r="K278" s="23" t="s">
        <v>337</v>
      </c>
      <c r="M278" s="23">
        <v>3</v>
      </c>
      <c r="N278" s="28" t="s">
        <v>997</v>
      </c>
      <c r="O278" s="38"/>
      <c r="P278" s="33" t="s">
        <v>3269</v>
      </c>
      <c r="Q278" s="41" t="s">
        <v>3378</v>
      </c>
    </row>
    <row r="279" spans="1:17" x14ac:dyDescent="0.45">
      <c r="A279" s="23">
        <v>258</v>
      </c>
      <c r="B279" s="23" t="s">
        <v>996</v>
      </c>
      <c r="C279" s="39" t="s">
        <v>111</v>
      </c>
      <c r="D279" s="33"/>
      <c r="E279" s="23">
        <v>1128</v>
      </c>
      <c r="F279" s="23">
        <v>137</v>
      </c>
      <c r="G279" s="23">
        <v>126</v>
      </c>
      <c r="H279" s="23">
        <v>93</v>
      </c>
      <c r="I279" s="23" t="s">
        <v>337</v>
      </c>
      <c r="J279" s="23" t="s">
        <v>337</v>
      </c>
      <c r="K279" s="23" t="s">
        <v>337</v>
      </c>
      <c r="M279" s="23">
        <v>3</v>
      </c>
      <c r="N279" s="31" t="s">
        <v>450</v>
      </c>
      <c r="O279" s="28"/>
      <c r="P279" s="35" t="s">
        <v>3270</v>
      </c>
      <c r="Q279" s="31" t="s">
        <v>3338</v>
      </c>
    </row>
    <row r="280" spans="1:17" x14ac:dyDescent="0.45">
      <c r="A280" s="23">
        <v>259</v>
      </c>
      <c r="B280" s="23" t="s">
        <v>995</v>
      </c>
      <c r="C280" s="35" t="s">
        <v>3</v>
      </c>
      <c r="D280" s="39" t="s">
        <v>111</v>
      </c>
      <c r="E280" s="23">
        <v>1776</v>
      </c>
      <c r="F280" s="23">
        <v>172</v>
      </c>
      <c r="G280" s="23">
        <v>156</v>
      </c>
      <c r="H280" s="23">
        <v>133</v>
      </c>
      <c r="I280" s="23" t="s">
        <v>337</v>
      </c>
      <c r="J280" s="23" t="s">
        <v>337</v>
      </c>
      <c r="K280" s="23" t="s">
        <v>337</v>
      </c>
      <c r="M280" s="23">
        <v>3</v>
      </c>
      <c r="N280" s="35" t="s">
        <v>824</v>
      </c>
      <c r="O280" s="31"/>
      <c r="P280" s="35" t="s">
        <v>3271</v>
      </c>
      <c r="Q280" s="31" t="s">
        <v>3338</v>
      </c>
    </row>
    <row r="281" spans="1:17" x14ac:dyDescent="0.45">
      <c r="A281" s="23">
        <v>260</v>
      </c>
      <c r="B281" s="23" t="s">
        <v>179</v>
      </c>
      <c r="C281" s="35" t="s">
        <v>3</v>
      </c>
      <c r="D281" s="39" t="s">
        <v>111</v>
      </c>
      <c r="E281" s="23">
        <v>2974</v>
      </c>
      <c r="F281" s="23">
        <v>225</v>
      </c>
      <c r="G281" s="23">
        <v>208</v>
      </c>
      <c r="H281" s="23">
        <v>175</v>
      </c>
      <c r="I281" s="23" t="s">
        <v>337</v>
      </c>
      <c r="J281" s="23" t="s">
        <v>337</v>
      </c>
      <c r="K281" s="23" t="s">
        <v>337</v>
      </c>
      <c r="M281" s="23">
        <v>3</v>
      </c>
      <c r="N281" s="35" t="s">
        <v>824</v>
      </c>
      <c r="O281" s="35"/>
      <c r="P281" s="35" t="s">
        <v>3272</v>
      </c>
      <c r="Q281" s="31" t="s">
        <v>3341</v>
      </c>
    </row>
    <row r="282" spans="1:17" x14ac:dyDescent="0.45">
      <c r="A282" s="23">
        <v>261</v>
      </c>
      <c r="B282" s="23" t="s">
        <v>994</v>
      </c>
      <c r="C282" s="29" t="s">
        <v>78</v>
      </c>
      <c r="D282" s="39"/>
      <c r="E282" s="23">
        <v>678</v>
      </c>
      <c r="F282" s="23">
        <v>111</v>
      </c>
      <c r="G282" s="23">
        <v>96</v>
      </c>
      <c r="H282" s="23">
        <v>61</v>
      </c>
      <c r="I282" s="23" t="s">
        <v>337</v>
      </c>
      <c r="K282" s="23" t="s">
        <v>337</v>
      </c>
      <c r="M282" s="23">
        <v>1</v>
      </c>
      <c r="N282" s="31" t="s">
        <v>993</v>
      </c>
      <c r="O282" s="35"/>
      <c r="P282" s="35" t="s">
        <v>992</v>
      </c>
    </row>
    <row r="283" spans="1:17" x14ac:dyDescent="0.45">
      <c r="A283" s="23">
        <v>262</v>
      </c>
      <c r="B283" s="23" t="s">
        <v>991</v>
      </c>
      <c r="C283" s="29" t="s">
        <v>78</v>
      </c>
      <c r="E283" s="23">
        <v>1926</v>
      </c>
      <c r="F283" s="23">
        <v>172</v>
      </c>
      <c r="G283" s="23">
        <v>171</v>
      </c>
      <c r="H283" s="23">
        <v>132</v>
      </c>
      <c r="I283" s="23" t="s">
        <v>337</v>
      </c>
      <c r="K283" s="23" t="s">
        <v>337</v>
      </c>
      <c r="M283" s="23">
        <v>1</v>
      </c>
      <c r="N283" s="29" t="s">
        <v>549</v>
      </c>
      <c r="O283" s="31"/>
      <c r="P283" s="29" t="s">
        <v>990</v>
      </c>
    </row>
    <row r="284" spans="1:17" x14ac:dyDescent="0.45">
      <c r="A284" s="23">
        <v>263</v>
      </c>
      <c r="B284" s="23" t="s">
        <v>989</v>
      </c>
      <c r="C284" s="31" t="s">
        <v>68</v>
      </c>
      <c r="E284" s="23">
        <v>508</v>
      </c>
      <c r="F284" s="23">
        <v>116</v>
      </c>
      <c r="G284" s="23">
        <v>58</v>
      </c>
      <c r="H284" s="23">
        <v>80</v>
      </c>
      <c r="I284" s="23" t="s">
        <v>337</v>
      </c>
      <c r="K284" s="23" t="s">
        <v>337</v>
      </c>
      <c r="M284" s="23">
        <v>1</v>
      </c>
      <c r="N284" s="28" t="s">
        <v>916</v>
      </c>
      <c r="O284" s="29"/>
      <c r="P284" s="25" t="s">
        <v>988</v>
      </c>
    </row>
    <row r="285" spans="1:17" x14ac:dyDescent="0.45">
      <c r="A285" s="23">
        <v>264</v>
      </c>
      <c r="B285" s="23" t="s">
        <v>987</v>
      </c>
      <c r="C285" s="31" t="s">
        <v>68</v>
      </c>
      <c r="E285" s="23">
        <v>1662</v>
      </c>
      <c r="F285" s="23">
        <v>186</v>
      </c>
      <c r="G285" s="23">
        <v>142</v>
      </c>
      <c r="H285" s="23">
        <v>128</v>
      </c>
      <c r="I285" s="23" t="s">
        <v>337</v>
      </c>
      <c r="K285" s="23" t="s">
        <v>337</v>
      </c>
      <c r="M285" s="23">
        <v>1</v>
      </c>
      <c r="N285" s="34" t="s">
        <v>986</v>
      </c>
      <c r="O285" s="28"/>
      <c r="P285" s="35" t="s">
        <v>985</v>
      </c>
    </row>
    <row r="286" spans="1:17" x14ac:dyDescent="0.45">
      <c r="A286" s="23">
        <v>265</v>
      </c>
      <c r="B286" s="23" t="s">
        <v>984</v>
      </c>
      <c r="C286" s="32" t="s">
        <v>29</v>
      </c>
      <c r="E286" s="23">
        <v>578</v>
      </c>
      <c r="F286" s="23">
        <v>128</v>
      </c>
      <c r="G286" s="23">
        <v>75</v>
      </c>
      <c r="H286" s="23">
        <v>59</v>
      </c>
      <c r="I286" s="23" t="s">
        <v>337</v>
      </c>
      <c r="K286" s="23" t="s">
        <v>337</v>
      </c>
      <c r="M286" s="23">
        <v>1</v>
      </c>
      <c r="N286" s="31" t="s">
        <v>646</v>
      </c>
      <c r="O286" s="34"/>
      <c r="P286" s="31" t="s">
        <v>645</v>
      </c>
    </row>
    <row r="287" spans="1:17" x14ac:dyDescent="0.45">
      <c r="A287" s="23">
        <v>266</v>
      </c>
      <c r="B287" s="23" t="s">
        <v>983</v>
      </c>
      <c r="C287" s="32" t="s">
        <v>29</v>
      </c>
      <c r="E287" s="23">
        <v>553</v>
      </c>
      <c r="F287" s="23">
        <v>137</v>
      </c>
      <c r="G287" s="23">
        <v>60</v>
      </c>
      <c r="H287" s="23">
        <v>77</v>
      </c>
      <c r="I287" s="23" t="s">
        <v>337</v>
      </c>
      <c r="M287" s="23">
        <v>1</v>
      </c>
      <c r="N287" s="37" t="s">
        <v>632</v>
      </c>
      <c r="O287" s="31"/>
      <c r="P287" s="31" t="s">
        <v>645</v>
      </c>
    </row>
    <row r="288" spans="1:17" x14ac:dyDescent="0.45">
      <c r="A288" s="23">
        <v>267</v>
      </c>
      <c r="B288" s="23" t="s">
        <v>982</v>
      </c>
      <c r="C288" s="38" t="s">
        <v>72</v>
      </c>
      <c r="D288" s="32" t="s">
        <v>29</v>
      </c>
      <c r="E288" s="23">
        <v>1765</v>
      </c>
      <c r="F288" s="23">
        <v>155</v>
      </c>
      <c r="G288" s="23">
        <v>189</v>
      </c>
      <c r="H288" s="23">
        <v>98</v>
      </c>
      <c r="I288" s="23" t="s">
        <v>337</v>
      </c>
      <c r="M288" s="23">
        <v>1</v>
      </c>
      <c r="N288" s="32" t="s">
        <v>981</v>
      </c>
      <c r="O288" s="37"/>
      <c r="P288" s="38" t="s">
        <v>980</v>
      </c>
    </row>
    <row r="289" spans="1:17" x14ac:dyDescent="0.45">
      <c r="A289" s="23">
        <v>268</v>
      </c>
      <c r="B289" s="23" t="s">
        <v>979</v>
      </c>
      <c r="C289" s="32" t="s">
        <v>29</v>
      </c>
      <c r="D289" s="32"/>
      <c r="E289" s="23">
        <v>553</v>
      </c>
      <c r="F289" s="23">
        <v>137</v>
      </c>
      <c r="G289" s="23">
        <v>60</v>
      </c>
      <c r="H289" s="23">
        <v>77</v>
      </c>
      <c r="I289" s="23" t="s">
        <v>337</v>
      </c>
      <c r="M289" s="23">
        <v>1</v>
      </c>
      <c r="N289" s="37" t="s">
        <v>632</v>
      </c>
      <c r="O289" s="32"/>
      <c r="P289" s="31" t="s">
        <v>645</v>
      </c>
    </row>
    <row r="290" spans="1:17" x14ac:dyDescent="0.45">
      <c r="A290" s="23">
        <v>269</v>
      </c>
      <c r="B290" s="23" t="s">
        <v>978</v>
      </c>
      <c r="C290" s="37" t="s">
        <v>32</v>
      </c>
      <c r="D290" s="32" t="s">
        <v>29</v>
      </c>
      <c r="E290" s="23">
        <v>1224</v>
      </c>
      <c r="F290" s="23">
        <v>155</v>
      </c>
      <c r="G290" s="23">
        <v>98</v>
      </c>
      <c r="H290" s="23">
        <v>162</v>
      </c>
      <c r="I290" s="23" t="s">
        <v>337</v>
      </c>
      <c r="M290" s="23">
        <v>1</v>
      </c>
      <c r="N290" s="27" t="s">
        <v>977</v>
      </c>
      <c r="O290" s="37"/>
      <c r="P290" s="32" t="s">
        <v>976</v>
      </c>
    </row>
    <row r="291" spans="1:17" x14ac:dyDescent="0.45">
      <c r="A291" s="23">
        <v>270</v>
      </c>
      <c r="B291" s="23" t="s">
        <v>975</v>
      </c>
      <c r="C291" s="39" t="s">
        <v>111</v>
      </c>
      <c r="D291" s="36" t="s">
        <v>12</v>
      </c>
      <c r="E291" s="23">
        <v>598</v>
      </c>
      <c r="F291" s="23">
        <v>120</v>
      </c>
      <c r="G291" s="23">
        <v>71</v>
      </c>
      <c r="H291" s="23">
        <v>77</v>
      </c>
      <c r="I291" s="23" t="s">
        <v>337</v>
      </c>
      <c r="K291" s="23" t="s">
        <v>337</v>
      </c>
      <c r="M291" s="23">
        <v>3</v>
      </c>
      <c r="N291" s="36" t="s">
        <v>974</v>
      </c>
      <c r="O291" s="27"/>
      <c r="P291" s="36" t="s">
        <v>973</v>
      </c>
    </row>
    <row r="292" spans="1:17" x14ac:dyDescent="0.45">
      <c r="A292" s="23">
        <v>271</v>
      </c>
      <c r="B292" s="23" t="s">
        <v>972</v>
      </c>
      <c r="C292" s="39" t="s">
        <v>111</v>
      </c>
      <c r="D292" s="36" t="s">
        <v>12</v>
      </c>
      <c r="E292" s="23">
        <v>1197</v>
      </c>
      <c r="F292" s="23">
        <v>155</v>
      </c>
      <c r="G292" s="23">
        <v>112</v>
      </c>
      <c r="H292" s="23">
        <v>119</v>
      </c>
      <c r="I292" s="23" t="s">
        <v>337</v>
      </c>
      <c r="K292" s="23" t="s">
        <v>337</v>
      </c>
      <c r="M292" s="23">
        <v>3</v>
      </c>
      <c r="N292" s="39" t="s">
        <v>970</v>
      </c>
      <c r="O292" s="36"/>
      <c r="P292" s="36" t="s">
        <v>971</v>
      </c>
    </row>
    <row r="293" spans="1:17" x14ac:dyDescent="0.45">
      <c r="A293" s="23">
        <v>272</v>
      </c>
      <c r="B293" s="23" t="s">
        <v>240</v>
      </c>
      <c r="C293" s="39" t="s">
        <v>111</v>
      </c>
      <c r="D293" s="36" t="s">
        <v>12</v>
      </c>
      <c r="E293" s="23">
        <v>2323</v>
      </c>
      <c r="F293" s="23">
        <v>190</v>
      </c>
      <c r="G293" s="23">
        <v>173</v>
      </c>
      <c r="H293" s="23">
        <v>176</v>
      </c>
      <c r="I293" s="23" t="s">
        <v>337</v>
      </c>
      <c r="K293" s="23" t="s">
        <v>337</v>
      </c>
      <c r="M293" s="23">
        <v>3</v>
      </c>
      <c r="N293" s="39" t="s">
        <v>970</v>
      </c>
      <c r="O293" s="39"/>
      <c r="P293" s="36" t="s">
        <v>969</v>
      </c>
    </row>
    <row r="294" spans="1:17" x14ac:dyDescent="0.45">
      <c r="A294" s="23">
        <v>273</v>
      </c>
      <c r="B294" s="23" t="s">
        <v>968</v>
      </c>
      <c r="C294" s="36" t="s">
        <v>12</v>
      </c>
      <c r="D294" s="36"/>
      <c r="E294" s="23">
        <v>598</v>
      </c>
      <c r="F294" s="23">
        <v>120</v>
      </c>
      <c r="G294" s="23">
        <v>71</v>
      </c>
      <c r="H294" s="23">
        <v>77</v>
      </c>
      <c r="J294" s="23" t="s">
        <v>337</v>
      </c>
      <c r="K294" s="23" t="s">
        <v>337</v>
      </c>
      <c r="M294" s="23">
        <v>3</v>
      </c>
      <c r="N294" s="36" t="s">
        <v>967</v>
      </c>
      <c r="O294" s="39"/>
      <c r="P294" s="29" t="s">
        <v>3273</v>
      </c>
      <c r="Q294" s="31" t="s">
        <v>3338</v>
      </c>
    </row>
    <row r="295" spans="1:17" x14ac:dyDescent="0.45">
      <c r="A295" s="23">
        <v>274</v>
      </c>
      <c r="B295" s="23" t="s">
        <v>966</v>
      </c>
      <c r="C295" s="36" t="s">
        <v>12</v>
      </c>
      <c r="D295" s="29" t="s">
        <v>78</v>
      </c>
      <c r="E295" s="23">
        <v>1227</v>
      </c>
      <c r="F295" s="23">
        <v>172</v>
      </c>
      <c r="G295" s="23">
        <v>134</v>
      </c>
      <c r="H295" s="23">
        <v>78</v>
      </c>
      <c r="J295" s="23" t="s">
        <v>337</v>
      </c>
      <c r="K295" s="23" t="s">
        <v>337</v>
      </c>
      <c r="M295" s="23">
        <v>3</v>
      </c>
      <c r="N295" s="29" t="s">
        <v>964</v>
      </c>
      <c r="O295" s="36"/>
      <c r="P295" s="29" t="s">
        <v>3274</v>
      </c>
      <c r="Q295" s="31" t="s">
        <v>3338</v>
      </c>
    </row>
    <row r="296" spans="1:17" x14ac:dyDescent="0.45">
      <c r="A296" s="23">
        <v>275</v>
      </c>
      <c r="B296" s="23" t="s">
        <v>965</v>
      </c>
      <c r="C296" s="36" t="s">
        <v>12</v>
      </c>
      <c r="D296" s="29" t="s">
        <v>78</v>
      </c>
      <c r="E296" s="23">
        <v>2333</v>
      </c>
      <c r="F296" s="23">
        <v>207</v>
      </c>
      <c r="G296" s="23">
        <v>200</v>
      </c>
      <c r="H296" s="23">
        <v>121</v>
      </c>
      <c r="J296" s="23" t="s">
        <v>337</v>
      </c>
      <c r="M296" s="23">
        <v>3</v>
      </c>
      <c r="N296" s="29" t="s">
        <v>1756</v>
      </c>
      <c r="O296" s="29"/>
      <c r="P296" s="29" t="s">
        <v>3275</v>
      </c>
      <c r="Q296" s="31" t="s">
        <v>3338</v>
      </c>
    </row>
    <row r="297" spans="1:17" x14ac:dyDescent="0.45">
      <c r="A297" s="23">
        <v>276</v>
      </c>
      <c r="B297" s="23" t="s">
        <v>963</v>
      </c>
      <c r="C297" s="31" t="s">
        <v>68</v>
      </c>
      <c r="D297" s="38" t="s">
        <v>72</v>
      </c>
      <c r="E297" s="23">
        <v>765</v>
      </c>
      <c r="F297" s="23">
        <v>120</v>
      </c>
      <c r="G297" s="23">
        <v>106</v>
      </c>
      <c r="H297" s="23">
        <v>61</v>
      </c>
      <c r="I297" s="23" t="s">
        <v>337</v>
      </c>
      <c r="K297" s="23" t="s">
        <v>337</v>
      </c>
      <c r="M297" s="23">
        <v>1</v>
      </c>
      <c r="N297" s="38" t="s">
        <v>962</v>
      </c>
      <c r="O297" s="29"/>
      <c r="P297" s="38" t="s">
        <v>203</v>
      </c>
    </row>
    <row r="298" spans="1:17" x14ac:dyDescent="0.45">
      <c r="A298" s="23">
        <v>277</v>
      </c>
      <c r="B298" s="23" t="s">
        <v>961</v>
      </c>
      <c r="C298" s="31" t="s">
        <v>68</v>
      </c>
      <c r="D298" s="38" t="s">
        <v>72</v>
      </c>
      <c r="E298" s="23">
        <v>1920</v>
      </c>
      <c r="F298" s="23">
        <v>155</v>
      </c>
      <c r="G298" s="23">
        <v>185</v>
      </c>
      <c r="H298" s="23">
        <v>124</v>
      </c>
      <c r="I298" s="23" t="s">
        <v>337</v>
      </c>
      <c r="K298" s="23" t="s">
        <v>337</v>
      </c>
      <c r="M298" s="23">
        <v>1</v>
      </c>
      <c r="N298" s="38" t="s">
        <v>960</v>
      </c>
      <c r="O298" s="38"/>
      <c r="P298" s="38" t="s">
        <v>959</v>
      </c>
    </row>
    <row r="299" spans="1:17" x14ac:dyDescent="0.45">
      <c r="A299" s="23">
        <v>278</v>
      </c>
      <c r="B299" s="23" t="s">
        <v>958</v>
      </c>
      <c r="C299" s="38" t="s">
        <v>72</v>
      </c>
      <c r="D299" s="39" t="s">
        <v>111</v>
      </c>
      <c r="E299" s="23">
        <v>765</v>
      </c>
      <c r="F299" s="23">
        <v>120</v>
      </c>
      <c r="G299" s="23">
        <v>106</v>
      </c>
      <c r="H299" s="23">
        <v>61</v>
      </c>
      <c r="I299" s="23" t="s">
        <v>337</v>
      </c>
      <c r="K299" s="23" t="s">
        <v>337</v>
      </c>
      <c r="M299" s="23">
        <v>3</v>
      </c>
      <c r="N299" s="31" t="s">
        <v>627</v>
      </c>
      <c r="O299" s="38"/>
      <c r="P299" s="38" t="s">
        <v>957</v>
      </c>
    </row>
    <row r="300" spans="1:17" x14ac:dyDescent="0.45">
      <c r="A300" s="23">
        <v>279</v>
      </c>
      <c r="B300" s="23" t="s">
        <v>956</v>
      </c>
      <c r="C300" s="38" t="s">
        <v>72</v>
      </c>
      <c r="D300" s="39" t="s">
        <v>111</v>
      </c>
      <c r="E300" s="23">
        <v>2127</v>
      </c>
      <c r="F300" s="23">
        <v>155</v>
      </c>
      <c r="G300" s="23">
        <v>175</v>
      </c>
      <c r="H300" s="23">
        <v>174</v>
      </c>
      <c r="I300" s="23" t="s">
        <v>337</v>
      </c>
      <c r="K300" s="23" t="s">
        <v>337</v>
      </c>
      <c r="M300" s="23">
        <v>3</v>
      </c>
      <c r="N300" s="38" t="s">
        <v>955</v>
      </c>
      <c r="O300" s="31"/>
      <c r="P300" s="39" t="s">
        <v>954</v>
      </c>
    </row>
    <row r="301" spans="1:17" x14ac:dyDescent="0.45">
      <c r="A301" s="23">
        <v>280</v>
      </c>
      <c r="B301" s="23" t="s">
        <v>953</v>
      </c>
      <c r="C301" s="27" t="s">
        <v>18</v>
      </c>
      <c r="D301" s="40" t="s">
        <v>61</v>
      </c>
      <c r="E301" s="23">
        <v>539</v>
      </c>
      <c r="F301" s="23">
        <v>99</v>
      </c>
      <c r="G301" s="23">
        <v>79</v>
      </c>
      <c r="H301" s="23">
        <v>59</v>
      </c>
      <c r="I301" s="23" t="s">
        <v>337</v>
      </c>
      <c r="J301" s="23" t="s">
        <v>337</v>
      </c>
      <c r="K301" s="23" t="s">
        <v>337</v>
      </c>
      <c r="M301" s="23">
        <v>5</v>
      </c>
      <c r="N301" s="25" t="s">
        <v>723</v>
      </c>
      <c r="O301" s="38"/>
      <c r="P301" s="34" t="s">
        <v>3276</v>
      </c>
      <c r="Q301" s="31" t="s">
        <v>3338</v>
      </c>
    </row>
    <row r="302" spans="1:17" x14ac:dyDescent="0.45">
      <c r="A302" s="23">
        <v>281</v>
      </c>
      <c r="B302" s="23" t="s">
        <v>952</v>
      </c>
      <c r="C302" s="27" t="s">
        <v>18</v>
      </c>
      <c r="D302" s="40" t="s">
        <v>61</v>
      </c>
      <c r="E302" s="23">
        <v>966</v>
      </c>
      <c r="F302" s="23">
        <v>116</v>
      </c>
      <c r="G302" s="23">
        <v>117</v>
      </c>
      <c r="H302" s="23">
        <v>90</v>
      </c>
      <c r="I302" s="23" t="s">
        <v>337</v>
      </c>
      <c r="J302" s="23" t="s">
        <v>337</v>
      </c>
      <c r="K302" s="23" t="s">
        <v>337</v>
      </c>
      <c r="M302" s="23">
        <v>5</v>
      </c>
      <c r="N302" s="25" t="s">
        <v>723</v>
      </c>
      <c r="O302" s="25"/>
      <c r="P302" s="34" t="s">
        <v>3277</v>
      </c>
      <c r="Q302" s="31" t="s">
        <v>3338</v>
      </c>
    </row>
    <row r="303" spans="1:17" x14ac:dyDescent="0.45">
      <c r="A303" s="23">
        <v>282</v>
      </c>
      <c r="B303" s="23" t="s">
        <v>304</v>
      </c>
      <c r="C303" s="27" t="s">
        <v>18</v>
      </c>
      <c r="D303" s="40" t="s">
        <v>61</v>
      </c>
      <c r="E303" s="23">
        <v>3093</v>
      </c>
      <c r="F303" s="23">
        <v>169</v>
      </c>
      <c r="G303" s="23">
        <v>237</v>
      </c>
      <c r="H303" s="23">
        <v>195</v>
      </c>
      <c r="I303" s="23" t="s">
        <v>337</v>
      </c>
      <c r="J303" s="23" t="s">
        <v>337</v>
      </c>
      <c r="M303" s="23">
        <v>5</v>
      </c>
      <c r="N303" s="40" t="s">
        <v>951</v>
      </c>
      <c r="O303" s="25"/>
      <c r="P303" s="27" t="s">
        <v>3278</v>
      </c>
      <c r="Q303" s="31" t="s">
        <v>3379</v>
      </c>
    </row>
    <row r="304" spans="1:17" x14ac:dyDescent="0.45">
      <c r="A304" s="23">
        <v>283</v>
      </c>
      <c r="B304" s="23" t="s">
        <v>950</v>
      </c>
      <c r="C304" s="32" t="s">
        <v>29</v>
      </c>
      <c r="D304" s="39" t="s">
        <v>111</v>
      </c>
      <c r="E304" s="23">
        <v>791</v>
      </c>
      <c r="F304" s="23">
        <v>120</v>
      </c>
      <c r="G304" s="23">
        <v>93</v>
      </c>
      <c r="H304" s="23">
        <v>87</v>
      </c>
      <c r="K304" s="23" t="s">
        <v>337</v>
      </c>
      <c r="M304" s="23">
        <v>1</v>
      </c>
      <c r="N304" s="39" t="s">
        <v>949</v>
      </c>
      <c r="O304" s="40"/>
      <c r="P304" s="39" t="s">
        <v>948</v>
      </c>
    </row>
    <row r="305" spans="1:17" x14ac:dyDescent="0.45">
      <c r="A305" s="23">
        <v>284</v>
      </c>
      <c r="B305" s="23" t="s">
        <v>211</v>
      </c>
      <c r="C305" s="38" t="s">
        <v>72</v>
      </c>
      <c r="D305" s="32" t="s">
        <v>29</v>
      </c>
      <c r="E305" s="23">
        <v>2270</v>
      </c>
      <c r="F305" s="23">
        <v>172</v>
      </c>
      <c r="G305" s="23">
        <v>192</v>
      </c>
      <c r="H305" s="23">
        <v>150</v>
      </c>
      <c r="K305" s="23" t="s">
        <v>337</v>
      </c>
      <c r="M305" s="23">
        <v>1</v>
      </c>
      <c r="N305" s="38" t="s">
        <v>947</v>
      </c>
      <c r="O305" s="39"/>
      <c r="P305" s="34" t="s">
        <v>946</v>
      </c>
    </row>
    <row r="306" spans="1:17" x14ac:dyDescent="0.45">
      <c r="A306" s="23">
        <v>285</v>
      </c>
      <c r="B306" s="23" t="s">
        <v>945</v>
      </c>
      <c r="C306" s="36" t="s">
        <v>12</v>
      </c>
      <c r="D306" s="32"/>
      <c r="E306" s="23">
        <v>810</v>
      </c>
      <c r="F306" s="23">
        <v>155</v>
      </c>
      <c r="G306" s="23">
        <v>74</v>
      </c>
      <c r="H306" s="23">
        <v>110</v>
      </c>
      <c r="K306" s="23" t="s">
        <v>337</v>
      </c>
      <c r="M306" s="23">
        <v>3</v>
      </c>
      <c r="N306" s="31" t="s">
        <v>623</v>
      </c>
      <c r="O306" s="38"/>
      <c r="P306" s="36" t="s">
        <v>944</v>
      </c>
    </row>
    <row r="307" spans="1:17" x14ac:dyDescent="0.45">
      <c r="A307" s="23">
        <v>286</v>
      </c>
      <c r="B307" s="23" t="s">
        <v>265</v>
      </c>
      <c r="C307" s="28" t="s">
        <v>47</v>
      </c>
      <c r="D307" s="36" t="s">
        <v>12</v>
      </c>
      <c r="E307" s="23">
        <v>2628</v>
      </c>
      <c r="F307" s="23">
        <v>155</v>
      </c>
      <c r="G307" s="23">
        <v>241</v>
      </c>
      <c r="H307" s="23">
        <v>144</v>
      </c>
      <c r="K307" s="23" t="s">
        <v>337</v>
      </c>
      <c r="M307" s="23">
        <v>3</v>
      </c>
      <c r="N307" s="28" t="s">
        <v>943</v>
      </c>
      <c r="O307" s="31"/>
      <c r="P307" s="36" t="s">
        <v>942</v>
      </c>
      <c r="Q307" s="36" t="s">
        <v>23</v>
      </c>
    </row>
    <row r="308" spans="1:17" x14ac:dyDescent="0.45">
      <c r="A308" s="23">
        <v>287</v>
      </c>
      <c r="B308" s="23" t="s">
        <v>941</v>
      </c>
      <c r="C308" s="31" t="s">
        <v>68</v>
      </c>
      <c r="D308" s="36"/>
      <c r="E308" s="23">
        <v>1002</v>
      </c>
      <c r="F308" s="23">
        <v>155</v>
      </c>
      <c r="G308" s="23">
        <v>104</v>
      </c>
      <c r="H308" s="23">
        <v>92</v>
      </c>
      <c r="I308" s="23" t="s">
        <v>337</v>
      </c>
      <c r="K308" s="23" t="s">
        <v>337</v>
      </c>
      <c r="M308" s="23">
        <v>5</v>
      </c>
      <c r="N308" s="31" t="s">
        <v>936</v>
      </c>
      <c r="O308" s="28"/>
      <c r="P308" s="28" t="s">
        <v>940</v>
      </c>
    </row>
    <row r="309" spans="1:17" x14ac:dyDescent="0.45">
      <c r="A309" s="23">
        <v>288</v>
      </c>
      <c r="B309" s="23" t="s">
        <v>939</v>
      </c>
      <c r="C309" s="31" t="s">
        <v>68</v>
      </c>
      <c r="E309" s="23">
        <v>1968</v>
      </c>
      <c r="F309" s="23">
        <v>190</v>
      </c>
      <c r="G309" s="23">
        <v>159</v>
      </c>
      <c r="H309" s="23">
        <v>145</v>
      </c>
      <c r="I309" s="23" t="s">
        <v>337</v>
      </c>
      <c r="K309" s="23" t="s">
        <v>337</v>
      </c>
      <c r="M309" s="23">
        <v>5</v>
      </c>
      <c r="N309" s="28" t="s">
        <v>938</v>
      </c>
      <c r="O309" s="31"/>
      <c r="P309" s="28" t="s">
        <v>937</v>
      </c>
    </row>
    <row r="310" spans="1:17" x14ac:dyDescent="0.45">
      <c r="A310" s="23">
        <v>289</v>
      </c>
      <c r="B310" s="23" t="s">
        <v>328</v>
      </c>
      <c r="C310" s="31" t="s">
        <v>68</v>
      </c>
      <c r="E310" s="23">
        <v>4431</v>
      </c>
      <c r="F310" s="23">
        <v>284</v>
      </c>
      <c r="G310" s="23">
        <v>290</v>
      </c>
      <c r="H310" s="23">
        <v>166</v>
      </c>
      <c r="I310" s="23" t="s">
        <v>337</v>
      </c>
      <c r="K310" s="23" t="s">
        <v>337</v>
      </c>
      <c r="M310" s="23">
        <v>5</v>
      </c>
      <c r="N310" s="31" t="s">
        <v>936</v>
      </c>
      <c r="O310" s="28"/>
      <c r="P310" s="35" t="s">
        <v>935</v>
      </c>
      <c r="Q310" s="31" t="s">
        <v>1480</v>
      </c>
    </row>
    <row r="311" spans="1:17" x14ac:dyDescent="0.45">
      <c r="A311" s="23">
        <v>290</v>
      </c>
      <c r="B311" s="23" t="s">
        <v>934</v>
      </c>
      <c r="C311" s="35" t="s">
        <v>3</v>
      </c>
      <c r="D311" s="32" t="s">
        <v>29</v>
      </c>
      <c r="E311" s="23">
        <v>768</v>
      </c>
      <c r="F311" s="23">
        <v>104</v>
      </c>
      <c r="G311" s="23">
        <v>80</v>
      </c>
      <c r="H311" s="23">
        <v>126</v>
      </c>
      <c r="M311" s="23">
        <v>5</v>
      </c>
      <c r="N311" s="31" t="s">
        <v>933</v>
      </c>
      <c r="O311" s="31"/>
      <c r="P311" s="29" t="s">
        <v>932</v>
      </c>
    </row>
    <row r="312" spans="1:17" x14ac:dyDescent="0.45">
      <c r="A312" s="23">
        <v>291</v>
      </c>
      <c r="B312" s="23" t="s">
        <v>931</v>
      </c>
      <c r="C312" s="38" t="s">
        <v>72</v>
      </c>
      <c r="D312" s="32" t="s">
        <v>29</v>
      </c>
      <c r="E312" s="23">
        <v>1969</v>
      </c>
      <c r="F312" s="23">
        <v>156</v>
      </c>
      <c r="G312" s="23">
        <v>199</v>
      </c>
      <c r="H312" s="23">
        <v>112</v>
      </c>
      <c r="M312" s="23">
        <v>5</v>
      </c>
      <c r="N312" s="26" t="s">
        <v>930</v>
      </c>
      <c r="O312" s="31"/>
      <c r="P312" s="34" t="s">
        <v>929</v>
      </c>
    </row>
    <row r="313" spans="1:17" x14ac:dyDescent="0.45">
      <c r="A313" s="23">
        <v>292</v>
      </c>
      <c r="B313" s="23" t="s">
        <v>928</v>
      </c>
      <c r="C313" s="32" t="s">
        <v>29</v>
      </c>
      <c r="D313" s="34" t="s">
        <v>16</v>
      </c>
      <c r="E313" s="23">
        <v>393</v>
      </c>
      <c r="F313" s="23">
        <v>1</v>
      </c>
      <c r="G313" s="23">
        <v>153</v>
      </c>
      <c r="H313" s="23">
        <v>73</v>
      </c>
      <c r="M313" s="23">
        <v>5</v>
      </c>
      <c r="N313" s="29" t="s">
        <v>927</v>
      </c>
      <c r="O313" s="26"/>
      <c r="P313" s="35" t="s">
        <v>926</v>
      </c>
    </row>
    <row r="314" spans="1:17" x14ac:dyDescent="0.45">
      <c r="A314" s="23">
        <v>293</v>
      </c>
      <c r="B314" s="23" t="s">
        <v>925</v>
      </c>
      <c r="C314" s="31" t="s">
        <v>68</v>
      </c>
      <c r="D314" s="34"/>
      <c r="E314" s="23">
        <v>671</v>
      </c>
      <c r="F314" s="23">
        <v>162</v>
      </c>
      <c r="G314" s="23">
        <v>92</v>
      </c>
      <c r="H314" s="23">
        <v>42</v>
      </c>
      <c r="K314" s="23" t="s">
        <v>337</v>
      </c>
      <c r="M314" s="23">
        <v>1</v>
      </c>
      <c r="N314" s="34" t="s">
        <v>924</v>
      </c>
      <c r="O314" s="29"/>
      <c r="P314" s="33" t="s">
        <v>923</v>
      </c>
    </row>
    <row r="315" spans="1:17" x14ac:dyDescent="0.45">
      <c r="A315" s="23">
        <v>294</v>
      </c>
      <c r="B315" s="23" t="s">
        <v>922</v>
      </c>
      <c r="C315" s="31" t="s">
        <v>68</v>
      </c>
      <c r="E315" s="23">
        <v>1327</v>
      </c>
      <c r="F315" s="23">
        <v>197</v>
      </c>
      <c r="G315" s="23">
        <v>134</v>
      </c>
      <c r="H315" s="23">
        <v>81</v>
      </c>
      <c r="K315" s="23" t="s">
        <v>337</v>
      </c>
      <c r="M315" s="23">
        <v>1</v>
      </c>
      <c r="N315" s="28" t="s">
        <v>921</v>
      </c>
      <c r="O315" s="34"/>
      <c r="P315" s="33" t="s">
        <v>920</v>
      </c>
    </row>
    <row r="316" spans="1:17" x14ac:dyDescent="0.45">
      <c r="A316" s="23">
        <v>295</v>
      </c>
      <c r="B316" s="23" t="s">
        <v>284</v>
      </c>
      <c r="C316" s="31" t="s">
        <v>68</v>
      </c>
      <c r="E316" s="23">
        <v>2347</v>
      </c>
      <c r="F316" s="23">
        <v>232</v>
      </c>
      <c r="G316" s="23">
        <v>179</v>
      </c>
      <c r="H316" s="23">
        <v>137</v>
      </c>
      <c r="K316" s="23" t="s">
        <v>337</v>
      </c>
      <c r="M316" s="23">
        <v>1</v>
      </c>
      <c r="N316" s="34" t="s">
        <v>919</v>
      </c>
      <c r="O316" s="28"/>
      <c r="P316" s="29" t="s">
        <v>918</v>
      </c>
    </row>
    <row r="317" spans="1:17" x14ac:dyDescent="0.45">
      <c r="A317" s="23">
        <v>296</v>
      </c>
      <c r="B317" s="23" t="s">
        <v>917</v>
      </c>
      <c r="C317" s="28" t="s">
        <v>47</v>
      </c>
      <c r="E317" s="23">
        <v>817</v>
      </c>
      <c r="F317" s="23">
        <v>176</v>
      </c>
      <c r="G317" s="23">
        <v>99</v>
      </c>
      <c r="H317" s="23">
        <v>54</v>
      </c>
      <c r="I317" s="23" t="s">
        <v>337</v>
      </c>
      <c r="K317" s="23" t="s">
        <v>337</v>
      </c>
      <c r="M317" s="23">
        <v>3</v>
      </c>
      <c r="N317" s="28" t="s">
        <v>916</v>
      </c>
      <c r="O317" s="34"/>
      <c r="P317" s="28" t="s">
        <v>915</v>
      </c>
    </row>
    <row r="318" spans="1:17" x14ac:dyDescent="0.45">
      <c r="A318" s="23">
        <v>297</v>
      </c>
      <c r="B318" s="23" t="s">
        <v>299</v>
      </c>
      <c r="C318" s="28" t="s">
        <v>47</v>
      </c>
      <c r="E318" s="23">
        <v>2829</v>
      </c>
      <c r="F318" s="23">
        <v>302</v>
      </c>
      <c r="G318" s="23">
        <v>209</v>
      </c>
      <c r="H318" s="23">
        <v>114</v>
      </c>
      <c r="I318" s="23" t="s">
        <v>337</v>
      </c>
      <c r="K318" s="23" t="s">
        <v>337</v>
      </c>
      <c r="M318" s="23">
        <v>3</v>
      </c>
      <c r="N318" s="28" t="s">
        <v>553</v>
      </c>
      <c r="O318" s="28"/>
      <c r="P318" s="28" t="s">
        <v>1787</v>
      </c>
    </row>
    <row r="319" spans="1:17" x14ac:dyDescent="0.45">
      <c r="A319" s="23">
        <v>298</v>
      </c>
      <c r="B319" s="23" t="s">
        <v>914</v>
      </c>
      <c r="C319" s="31" t="s">
        <v>68</v>
      </c>
      <c r="D319" s="40" t="s">
        <v>61</v>
      </c>
      <c r="E319" s="23">
        <v>364</v>
      </c>
      <c r="F319" s="23">
        <v>137</v>
      </c>
      <c r="G319" s="23">
        <v>36</v>
      </c>
      <c r="H319" s="23">
        <v>71</v>
      </c>
      <c r="I319" s="23" t="s">
        <v>337</v>
      </c>
      <c r="M319" s="23">
        <v>3</v>
      </c>
      <c r="N319" s="39" t="s">
        <v>913</v>
      </c>
      <c r="O319" s="28"/>
      <c r="P319" s="31" t="s">
        <v>912</v>
      </c>
    </row>
    <row r="320" spans="1:17" x14ac:dyDescent="0.45">
      <c r="A320" s="23">
        <v>299</v>
      </c>
      <c r="B320" s="23" t="s">
        <v>911</v>
      </c>
      <c r="C320" s="41" t="s">
        <v>43</v>
      </c>
      <c r="D320" s="40"/>
      <c r="E320" s="23">
        <v>993</v>
      </c>
      <c r="F320" s="23">
        <v>102</v>
      </c>
      <c r="G320" s="23">
        <v>82</v>
      </c>
      <c r="H320" s="23">
        <v>215</v>
      </c>
      <c r="K320" s="23" t="s">
        <v>337</v>
      </c>
      <c r="M320" s="23">
        <v>3</v>
      </c>
      <c r="N320" s="41" t="s">
        <v>498</v>
      </c>
      <c r="O320" s="39"/>
      <c r="P320" s="25" t="s">
        <v>910</v>
      </c>
    </row>
    <row r="321" spans="1:17" x14ac:dyDescent="0.45">
      <c r="A321" s="23">
        <v>300</v>
      </c>
      <c r="B321" s="23" t="s">
        <v>909</v>
      </c>
      <c r="C321" s="31" t="s">
        <v>68</v>
      </c>
      <c r="E321" s="23">
        <v>739</v>
      </c>
      <c r="F321" s="23">
        <v>137</v>
      </c>
      <c r="G321" s="23">
        <v>84</v>
      </c>
      <c r="H321" s="23">
        <v>79</v>
      </c>
      <c r="K321" s="23" t="s">
        <v>337</v>
      </c>
      <c r="M321" s="23">
        <v>3</v>
      </c>
      <c r="N321" s="31" t="s">
        <v>908</v>
      </c>
      <c r="O321" s="41"/>
      <c r="P321" s="35" t="s">
        <v>907</v>
      </c>
    </row>
    <row r="322" spans="1:17" x14ac:dyDescent="0.45">
      <c r="A322" s="23">
        <v>301</v>
      </c>
      <c r="B322" s="23" t="s">
        <v>906</v>
      </c>
      <c r="C322" s="31" t="s">
        <v>68</v>
      </c>
      <c r="E322" s="23">
        <v>1496</v>
      </c>
      <c r="F322" s="23">
        <v>172</v>
      </c>
      <c r="G322" s="23">
        <v>132</v>
      </c>
      <c r="H322" s="23">
        <v>127</v>
      </c>
      <c r="K322" s="23" t="s">
        <v>337</v>
      </c>
      <c r="M322" s="23">
        <v>3</v>
      </c>
      <c r="N322" s="40" t="s">
        <v>905</v>
      </c>
      <c r="O322" s="31"/>
      <c r="P322" s="40" t="s">
        <v>904</v>
      </c>
    </row>
    <row r="323" spans="1:17" x14ac:dyDescent="0.45">
      <c r="A323" s="23">
        <v>302</v>
      </c>
      <c r="B323" s="23" t="s">
        <v>903</v>
      </c>
      <c r="C323" s="34" t="s">
        <v>16</v>
      </c>
      <c r="D323" s="29" t="s">
        <v>78</v>
      </c>
      <c r="E323" s="23">
        <v>1476</v>
      </c>
      <c r="F323" s="23">
        <v>137</v>
      </c>
      <c r="G323" s="23">
        <v>141</v>
      </c>
      <c r="H323" s="23">
        <v>136</v>
      </c>
      <c r="I323" s="23" t="s">
        <v>337</v>
      </c>
      <c r="J323" s="23" t="s">
        <v>337</v>
      </c>
      <c r="K323" s="23" t="s">
        <v>337</v>
      </c>
      <c r="M323" s="23">
        <v>5</v>
      </c>
      <c r="N323" s="34" t="s">
        <v>902</v>
      </c>
      <c r="O323" s="40"/>
      <c r="P323" s="29" t="s">
        <v>3279</v>
      </c>
      <c r="Q323" s="31" t="s">
        <v>3338</v>
      </c>
    </row>
    <row r="324" spans="1:17" x14ac:dyDescent="0.45">
      <c r="A324" s="23">
        <v>303</v>
      </c>
      <c r="B324" s="23" t="s">
        <v>901</v>
      </c>
      <c r="C324" s="26" t="s">
        <v>4</v>
      </c>
      <c r="D324" s="40" t="s">
        <v>61</v>
      </c>
      <c r="E324" s="23">
        <v>1634</v>
      </c>
      <c r="F324" s="23">
        <v>137</v>
      </c>
      <c r="G324" s="23">
        <v>155</v>
      </c>
      <c r="H324" s="23">
        <v>141</v>
      </c>
      <c r="I324" s="23" t="s">
        <v>337</v>
      </c>
      <c r="K324" s="23" t="s">
        <v>337</v>
      </c>
      <c r="L324" s="23">
        <v>10</v>
      </c>
      <c r="M324" s="23">
        <v>5</v>
      </c>
      <c r="N324" s="34" t="s">
        <v>900</v>
      </c>
      <c r="O324" s="34"/>
      <c r="P324" s="26" t="s">
        <v>899</v>
      </c>
    </row>
    <row r="325" spans="1:17" x14ac:dyDescent="0.45">
      <c r="A325" s="23">
        <v>304</v>
      </c>
      <c r="B325" s="23" t="s">
        <v>898</v>
      </c>
      <c r="C325" s="41" t="s">
        <v>43</v>
      </c>
      <c r="D325" s="26" t="s">
        <v>4</v>
      </c>
      <c r="E325" s="23">
        <v>1307</v>
      </c>
      <c r="F325" s="23">
        <v>137</v>
      </c>
      <c r="G325" s="23">
        <v>121</v>
      </c>
      <c r="H325" s="23">
        <v>141</v>
      </c>
      <c r="I325" s="23" t="s">
        <v>337</v>
      </c>
      <c r="K325" s="23" t="s">
        <v>337</v>
      </c>
      <c r="M325" s="23">
        <v>1</v>
      </c>
      <c r="N325" s="31" t="s">
        <v>379</v>
      </c>
      <c r="O325" s="34"/>
      <c r="P325" s="26" t="s">
        <v>897</v>
      </c>
    </row>
    <row r="326" spans="1:17" x14ac:dyDescent="0.45">
      <c r="A326" s="23">
        <v>305</v>
      </c>
      <c r="B326" s="23" t="s">
        <v>896</v>
      </c>
      <c r="C326" s="41" t="s">
        <v>43</v>
      </c>
      <c r="D326" s="26" t="s">
        <v>4</v>
      </c>
      <c r="E326" s="23">
        <v>2056</v>
      </c>
      <c r="F326" s="23">
        <v>155</v>
      </c>
      <c r="G326" s="23">
        <v>158</v>
      </c>
      <c r="H326" s="23">
        <v>198</v>
      </c>
      <c r="I326" s="23" t="s">
        <v>337</v>
      </c>
      <c r="K326" s="23" t="s">
        <v>337</v>
      </c>
      <c r="M326" s="23">
        <v>1</v>
      </c>
      <c r="N326" s="26" t="s">
        <v>895</v>
      </c>
      <c r="O326" s="31"/>
      <c r="P326" s="41" t="s">
        <v>894</v>
      </c>
    </row>
    <row r="327" spans="1:17" x14ac:dyDescent="0.45">
      <c r="A327" s="23">
        <v>306</v>
      </c>
      <c r="B327" s="23" t="s">
        <v>272</v>
      </c>
      <c r="C327" s="41" t="s">
        <v>43</v>
      </c>
      <c r="D327" s="26" t="s">
        <v>4</v>
      </c>
      <c r="E327" s="23">
        <v>3000</v>
      </c>
      <c r="F327" s="23">
        <v>172</v>
      </c>
      <c r="G327" s="23">
        <v>198</v>
      </c>
      <c r="H327" s="23">
        <v>257</v>
      </c>
      <c r="I327" s="23" t="s">
        <v>337</v>
      </c>
      <c r="K327" s="23" t="s">
        <v>337</v>
      </c>
      <c r="M327" s="23">
        <v>1</v>
      </c>
      <c r="N327" s="26" t="s">
        <v>893</v>
      </c>
      <c r="O327" s="26"/>
      <c r="P327" s="25" t="s">
        <v>892</v>
      </c>
    </row>
    <row r="328" spans="1:17" x14ac:dyDescent="0.45">
      <c r="A328" s="23">
        <v>307</v>
      </c>
      <c r="B328" s="23" t="s">
        <v>891</v>
      </c>
      <c r="C328" s="28" t="s">
        <v>47</v>
      </c>
      <c r="D328" s="27" t="s">
        <v>18</v>
      </c>
      <c r="E328" s="23">
        <v>693</v>
      </c>
      <c r="F328" s="23">
        <v>102</v>
      </c>
      <c r="G328" s="23">
        <v>78</v>
      </c>
      <c r="H328" s="23">
        <v>107</v>
      </c>
      <c r="I328" s="23" t="s">
        <v>337</v>
      </c>
      <c r="K328" s="23" t="s">
        <v>337</v>
      </c>
      <c r="M328" s="23">
        <v>3</v>
      </c>
      <c r="N328" s="28" t="s">
        <v>890</v>
      </c>
      <c r="O328" s="26"/>
      <c r="P328" s="27" t="s">
        <v>889</v>
      </c>
    </row>
    <row r="329" spans="1:17" x14ac:dyDescent="0.45">
      <c r="A329" s="23">
        <v>308</v>
      </c>
      <c r="B329" s="23" t="s">
        <v>888</v>
      </c>
      <c r="C329" s="28" t="s">
        <v>47</v>
      </c>
      <c r="D329" s="27" t="s">
        <v>18</v>
      </c>
      <c r="E329" s="23">
        <v>1431</v>
      </c>
      <c r="F329" s="23">
        <v>155</v>
      </c>
      <c r="G329" s="23">
        <v>121</v>
      </c>
      <c r="H329" s="23">
        <v>152</v>
      </c>
      <c r="I329" s="23" t="s">
        <v>337</v>
      </c>
      <c r="K329" s="23" t="s">
        <v>337</v>
      </c>
      <c r="M329" s="23">
        <v>3</v>
      </c>
      <c r="N329" s="28" t="s">
        <v>887</v>
      </c>
      <c r="O329" s="28"/>
      <c r="P329" s="28" t="s">
        <v>886</v>
      </c>
    </row>
    <row r="330" spans="1:17" x14ac:dyDescent="0.45">
      <c r="A330" s="23">
        <v>309</v>
      </c>
      <c r="B330" s="23" t="s">
        <v>885</v>
      </c>
      <c r="C330" s="25" t="s">
        <v>8</v>
      </c>
      <c r="D330" s="27"/>
      <c r="E330" s="23">
        <v>965</v>
      </c>
      <c r="F330" s="23">
        <v>120</v>
      </c>
      <c r="G330" s="23">
        <v>123</v>
      </c>
      <c r="H330" s="23">
        <v>78</v>
      </c>
      <c r="I330" s="23" t="s">
        <v>337</v>
      </c>
      <c r="K330" s="23" t="s">
        <v>337</v>
      </c>
      <c r="M330" s="23">
        <v>3</v>
      </c>
      <c r="N330" s="25" t="s">
        <v>399</v>
      </c>
      <c r="O330" s="28"/>
      <c r="P330" s="25" t="s">
        <v>671</v>
      </c>
    </row>
    <row r="331" spans="1:17" x14ac:dyDescent="0.45">
      <c r="A331" s="23">
        <v>310</v>
      </c>
      <c r="B331" s="23" t="s">
        <v>281</v>
      </c>
      <c r="C331" s="25" t="s">
        <v>8</v>
      </c>
      <c r="E331" s="23">
        <v>2340</v>
      </c>
      <c r="F331" s="23">
        <v>172</v>
      </c>
      <c r="G331" s="23">
        <v>215</v>
      </c>
      <c r="H331" s="23">
        <v>127</v>
      </c>
      <c r="I331" s="23" t="s">
        <v>337</v>
      </c>
      <c r="K331" s="23" t="s">
        <v>337</v>
      </c>
      <c r="M331" s="23">
        <v>3</v>
      </c>
      <c r="N331" s="25" t="s">
        <v>884</v>
      </c>
      <c r="O331" s="25"/>
      <c r="P331" s="25" t="s">
        <v>883</v>
      </c>
    </row>
    <row r="332" spans="1:17" x14ac:dyDescent="0.45">
      <c r="A332" s="23">
        <v>311</v>
      </c>
      <c r="B332" s="23" t="s">
        <v>882</v>
      </c>
      <c r="C332" s="25" t="s">
        <v>8</v>
      </c>
      <c r="E332" s="23">
        <v>1778</v>
      </c>
      <c r="F332" s="23">
        <v>155</v>
      </c>
      <c r="G332" s="23">
        <v>167</v>
      </c>
      <c r="H332" s="23">
        <v>129</v>
      </c>
      <c r="I332" s="23" t="s">
        <v>337</v>
      </c>
      <c r="K332" s="23" t="s">
        <v>337</v>
      </c>
      <c r="M332" s="23">
        <v>3</v>
      </c>
      <c r="N332" s="25" t="s">
        <v>399</v>
      </c>
      <c r="O332" s="25"/>
      <c r="P332" s="25" t="s">
        <v>3780</v>
      </c>
    </row>
    <row r="333" spans="1:17" x14ac:dyDescent="0.45">
      <c r="A333" s="23">
        <v>312</v>
      </c>
      <c r="B333" s="23" t="s">
        <v>881</v>
      </c>
      <c r="C333" s="25" t="s">
        <v>8</v>
      </c>
      <c r="E333" s="23">
        <v>1694</v>
      </c>
      <c r="F333" s="23">
        <v>155</v>
      </c>
      <c r="G333" s="23">
        <v>147</v>
      </c>
      <c r="H333" s="23">
        <v>150</v>
      </c>
      <c r="I333" s="23" t="s">
        <v>337</v>
      </c>
      <c r="K333" s="23" t="s">
        <v>337</v>
      </c>
      <c r="M333" s="23">
        <v>3</v>
      </c>
      <c r="N333" s="25" t="s">
        <v>399</v>
      </c>
      <c r="O333" s="25"/>
      <c r="P333" s="25" t="s">
        <v>3780</v>
      </c>
    </row>
    <row r="334" spans="1:17" x14ac:dyDescent="0.45">
      <c r="A334" s="23">
        <v>313</v>
      </c>
      <c r="B334" s="23" t="s">
        <v>128</v>
      </c>
      <c r="C334" s="32" t="s">
        <v>29</v>
      </c>
      <c r="E334" s="23">
        <v>1771</v>
      </c>
      <c r="F334" s="23">
        <v>163</v>
      </c>
      <c r="G334" s="23">
        <v>143</v>
      </c>
      <c r="H334" s="23">
        <v>166</v>
      </c>
      <c r="K334" s="23" t="s">
        <v>337</v>
      </c>
      <c r="L334" s="23">
        <v>5</v>
      </c>
      <c r="M334" s="23">
        <v>3</v>
      </c>
      <c r="N334" s="31" t="s">
        <v>878</v>
      </c>
      <c r="O334" s="25"/>
      <c r="P334" s="25" t="s">
        <v>880</v>
      </c>
    </row>
    <row r="335" spans="1:17" x14ac:dyDescent="0.45">
      <c r="A335" s="23">
        <v>314</v>
      </c>
      <c r="B335" s="23" t="s">
        <v>879</v>
      </c>
      <c r="C335" s="32" t="s">
        <v>29</v>
      </c>
      <c r="E335" s="23">
        <v>1771</v>
      </c>
      <c r="F335" s="23">
        <v>163</v>
      </c>
      <c r="G335" s="23">
        <v>143</v>
      </c>
      <c r="H335" s="23">
        <v>166</v>
      </c>
      <c r="K335" s="23" t="s">
        <v>337</v>
      </c>
      <c r="L335" s="23">
        <v>5</v>
      </c>
      <c r="M335" s="23">
        <v>3</v>
      </c>
      <c r="N335" s="31" t="s">
        <v>878</v>
      </c>
      <c r="O335" s="31"/>
      <c r="P335" s="32" t="s">
        <v>877</v>
      </c>
    </row>
    <row r="336" spans="1:17" x14ac:dyDescent="0.45">
      <c r="A336" s="23">
        <v>315</v>
      </c>
      <c r="B336" s="23" t="s">
        <v>65</v>
      </c>
      <c r="C336" s="37" t="s">
        <v>32</v>
      </c>
      <c r="D336" s="36" t="s">
        <v>12</v>
      </c>
      <c r="E336" s="23">
        <v>1870</v>
      </c>
      <c r="F336" s="23">
        <v>137</v>
      </c>
      <c r="G336" s="23">
        <v>186</v>
      </c>
      <c r="H336" s="23">
        <v>131</v>
      </c>
      <c r="I336" s="23" t="s">
        <v>337</v>
      </c>
      <c r="K336" s="23" t="s">
        <v>337</v>
      </c>
      <c r="M336" s="23">
        <v>3</v>
      </c>
      <c r="N336" s="37" t="s">
        <v>662</v>
      </c>
      <c r="O336" s="31"/>
      <c r="P336" s="36" t="s">
        <v>876</v>
      </c>
    </row>
    <row r="337" spans="1:17" x14ac:dyDescent="0.45">
      <c r="A337" s="23">
        <v>316</v>
      </c>
      <c r="B337" s="23" t="s">
        <v>875</v>
      </c>
      <c r="C337" s="37" t="s">
        <v>32</v>
      </c>
      <c r="D337" s="36"/>
      <c r="E337" s="23">
        <v>866</v>
      </c>
      <c r="F337" s="23">
        <v>172</v>
      </c>
      <c r="G337" s="23">
        <v>80</v>
      </c>
      <c r="H337" s="23">
        <v>99</v>
      </c>
      <c r="K337" s="23" t="s">
        <v>337</v>
      </c>
      <c r="M337" s="23">
        <v>1</v>
      </c>
      <c r="N337" s="28" t="s">
        <v>874</v>
      </c>
      <c r="O337" s="37"/>
      <c r="P337" s="37" t="s">
        <v>873</v>
      </c>
    </row>
    <row r="338" spans="1:17" x14ac:dyDescent="0.45">
      <c r="A338" s="23">
        <v>317</v>
      </c>
      <c r="B338" s="23" t="s">
        <v>125</v>
      </c>
      <c r="C338" s="37" t="s">
        <v>32</v>
      </c>
      <c r="E338" s="23">
        <v>1978</v>
      </c>
      <c r="F338" s="23">
        <v>225</v>
      </c>
      <c r="G338" s="23">
        <v>140</v>
      </c>
      <c r="H338" s="23">
        <v>159</v>
      </c>
      <c r="K338" s="23" t="s">
        <v>337</v>
      </c>
      <c r="M338" s="23">
        <v>1</v>
      </c>
      <c r="N338" s="28" t="s">
        <v>872</v>
      </c>
      <c r="O338" s="28"/>
      <c r="P338" s="37" t="s">
        <v>871</v>
      </c>
    </row>
    <row r="339" spans="1:17" x14ac:dyDescent="0.45">
      <c r="A339" s="23">
        <v>318</v>
      </c>
      <c r="B339" s="23" t="s">
        <v>870</v>
      </c>
      <c r="C339" s="39" t="s">
        <v>111</v>
      </c>
      <c r="D339" s="29" t="s">
        <v>78</v>
      </c>
      <c r="E339" s="23">
        <v>1020</v>
      </c>
      <c r="F339" s="23">
        <v>128</v>
      </c>
      <c r="G339" s="23">
        <v>171</v>
      </c>
      <c r="H339" s="23">
        <v>39</v>
      </c>
      <c r="I339" s="23" t="s">
        <v>337</v>
      </c>
      <c r="K339" s="23" t="s">
        <v>337</v>
      </c>
      <c r="L339" s="23">
        <v>5</v>
      </c>
      <c r="M339" s="23">
        <v>3</v>
      </c>
      <c r="N339" s="29" t="s">
        <v>869</v>
      </c>
      <c r="O339" s="28"/>
      <c r="P339" s="39" t="s">
        <v>868</v>
      </c>
    </row>
    <row r="340" spans="1:17" x14ac:dyDescent="0.45">
      <c r="A340" s="23">
        <v>319</v>
      </c>
      <c r="B340" s="23" t="s">
        <v>867</v>
      </c>
      <c r="C340" s="39" t="s">
        <v>111</v>
      </c>
      <c r="D340" s="29" t="s">
        <v>78</v>
      </c>
      <c r="E340" s="23">
        <v>2181</v>
      </c>
      <c r="F340" s="23">
        <v>172</v>
      </c>
      <c r="G340" s="23">
        <v>243</v>
      </c>
      <c r="H340" s="23">
        <v>83</v>
      </c>
      <c r="I340" s="23" t="s">
        <v>337</v>
      </c>
      <c r="K340" s="23" t="s">
        <v>337</v>
      </c>
      <c r="M340" s="23">
        <v>3</v>
      </c>
      <c r="N340" s="29" t="s">
        <v>866</v>
      </c>
      <c r="O340" s="29"/>
      <c r="P340" s="29" t="s">
        <v>865</v>
      </c>
    </row>
    <row r="341" spans="1:17" x14ac:dyDescent="0.45">
      <c r="A341" s="23">
        <v>320</v>
      </c>
      <c r="B341" s="23" t="s">
        <v>864</v>
      </c>
      <c r="C341" s="39" t="s">
        <v>111</v>
      </c>
      <c r="D341" s="29"/>
      <c r="E341" s="23">
        <v>1468</v>
      </c>
      <c r="F341" s="23">
        <v>277</v>
      </c>
      <c r="G341" s="23">
        <v>136</v>
      </c>
      <c r="H341" s="23">
        <v>68</v>
      </c>
      <c r="I341" s="23" t="s">
        <v>337</v>
      </c>
      <c r="K341" s="23" t="s">
        <v>337</v>
      </c>
      <c r="L341" s="23">
        <v>2</v>
      </c>
      <c r="M341" s="23">
        <v>1</v>
      </c>
      <c r="N341" s="39" t="s">
        <v>754</v>
      </c>
      <c r="O341" s="29"/>
      <c r="P341" s="31" t="s">
        <v>863</v>
      </c>
    </row>
    <row r="342" spans="1:17" x14ac:dyDescent="0.45">
      <c r="A342" s="23">
        <v>321</v>
      </c>
      <c r="B342" s="23" t="s">
        <v>245</v>
      </c>
      <c r="C342" s="39" t="s">
        <v>111</v>
      </c>
      <c r="E342" s="23">
        <v>2280</v>
      </c>
      <c r="F342" s="23">
        <v>347</v>
      </c>
      <c r="G342" s="23">
        <v>175</v>
      </c>
      <c r="H342" s="23">
        <v>87</v>
      </c>
      <c r="I342" s="23" t="s">
        <v>337</v>
      </c>
      <c r="M342" s="23">
        <v>1</v>
      </c>
      <c r="N342" s="27" t="s">
        <v>757</v>
      </c>
      <c r="O342" s="39"/>
      <c r="P342" s="39" t="s">
        <v>800</v>
      </c>
    </row>
    <row r="343" spans="1:17" x14ac:dyDescent="0.45">
      <c r="A343" s="23">
        <v>322</v>
      </c>
      <c r="B343" s="23" t="s">
        <v>862</v>
      </c>
      <c r="C343" s="35" t="s">
        <v>3</v>
      </c>
      <c r="D343" s="33" t="s">
        <v>22</v>
      </c>
      <c r="E343" s="23">
        <v>1057</v>
      </c>
      <c r="F343" s="23">
        <v>155</v>
      </c>
      <c r="G343" s="23">
        <v>119</v>
      </c>
      <c r="H343" s="23">
        <v>79</v>
      </c>
      <c r="K343" s="23" t="s">
        <v>337</v>
      </c>
      <c r="M343" s="23">
        <v>3</v>
      </c>
      <c r="N343" s="31" t="s">
        <v>455</v>
      </c>
      <c r="O343" s="27"/>
      <c r="P343" s="35" t="s">
        <v>861</v>
      </c>
    </row>
    <row r="344" spans="1:17" x14ac:dyDescent="0.45">
      <c r="A344" s="23">
        <v>323</v>
      </c>
      <c r="B344" s="23" t="s">
        <v>860</v>
      </c>
      <c r="C344" s="35" t="s">
        <v>3</v>
      </c>
      <c r="D344" s="33" t="s">
        <v>22</v>
      </c>
      <c r="E344" s="23">
        <v>2193</v>
      </c>
      <c r="F344" s="23">
        <v>172</v>
      </c>
      <c r="G344" s="23">
        <v>194</v>
      </c>
      <c r="H344" s="23">
        <v>136</v>
      </c>
      <c r="K344" s="23" t="s">
        <v>337</v>
      </c>
      <c r="M344" s="23">
        <v>3</v>
      </c>
      <c r="N344" s="28" t="s">
        <v>702</v>
      </c>
      <c r="O344" s="31"/>
      <c r="P344" s="33" t="s">
        <v>859</v>
      </c>
    </row>
    <row r="345" spans="1:17" x14ac:dyDescent="0.45">
      <c r="A345" s="23">
        <v>324</v>
      </c>
      <c r="B345" s="23" t="s">
        <v>858</v>
      </c>
      <c r="C345" s="33" t="s">
        <v>22</v>
      </c>
      <c r="D345" s="33"/>
      <c r="E345" s="23">
        <v>2093</v>
      </c>
      <c r="F345" s="23">
        <v>172</v>
      </c>
      <c r="G345" s="23">
        <v>151</v>
      </c>
      <c r="H345" s="23">
        <v>203</v>
      </c>
      <c r="K345" s="23" t="s">
        <v>337</v>
      </c>
      <c r="L345" s="23">
        <v>5</v>
      </c>
      <c r="M345" s="23">
        <v>3</v>
      </c>
      <c r="N345" s="33" t="s">
        <v>857</v>
      </c>
      <c r="O345" s="28"/>
      <c r="P345" s="33" t="s">
        <v>856</v>
      </c>
    </row>
    <row r="346" spans="1:17" x14ac:dyDescent="0.45">
      <c r="A346" s="23">
        <v>325</v>
      </c>
      <c r="B346" s="23" t="s">
        <v>855</v>
      </c>
      <c r="C346" s="27" t="s">
        <v>18</v>
      </c>
      <c r="E346" s="23">
        <v>1334</v>
      </c>
      <c r="F346" s="23">
        <v>155</v>
      </c>
      <c r="G346" s="23">
        <v>125</v>
      </c>
      <c r="H346" s="23">
        <v>122</v>
      </c>
      <c r="I346" s="23" t="s">
        <v>337</v>
      </c>
      <c r="K346" s="23" t="s">
        <v>337</v>
      </c>
      <c r="M346" s="23">
        <v>1</v>
      </c>
      <c r="N346" s="27" t="s">
        <v>854</v>
      </c>
      <c r="O346" s="33"/>
      <c r="P346" s="27" t="s">
        <v>853</v>
      </c>
    </row>
    <row r="347" spans="1:17" x14ac:dyDescent="0.45">
      <c r="A347" s="23">
        <v>326</v>
      </c>
      <c r="B347" s="23" t="s">
        <v>75</v>
      </c>
      <c r="C347" s="27" t="s">
        <v>18</v>
      </c>
      <c r="E347" s="23">
        <v>2369</v>
      </c>
      <c r="F347" s="23">
        <v>190</v>
      </c>
      <c r="G347" s="23">
        <v>171</v>
      </c>
      <c r="H347" s="23">
        <v>188</v>
      </c>
      <c r="I347" s="23" t="s">
        <v>337</v>
      </c>
      <c r="K347" s="23" t="s">
        <v>337</v>
      </c>
      <c r="M347" s="23">
        <v>1</v>
      </c>
      <c r="N347" s="27" t="s">
        <v>852</v>
      </c>
      <c r="O347" s="27"/>
      <c r="P347" s="27" t="s">
        <v>851</v>
      </c>
    </row>
    <row r="348" spans="1:17" x14ac:dyDescent="0.45">
      <c r="A348" s="23">
        <v>327</v>
      </c>
      <c r="B348" s="23" t="s">
        <v>850</v>
      </c>
      <c r="C348" s="31" t="s">
        <v>68</v>
      </c>
      <c r="E348" s="23">
        <v>1220</v>
      </c>
      <c r="F348" s="23">
        <v>155</v>
      </c>
      <c r="G348" s="23">
        <v>116</v>
      </c>
      <c r="H348" s="23">
        <v>116</v>
      </c>
      <c r="I348" s="23" t="s">
        <v>337</v>
      </c>
      <c r="M348" s="23">
        <v>3</v>
      </c>
      <c r="N348" s="27" t="s">
        <v>849</v>
      </c>
      <c r="O348" s="27"/>
      <c r="P348" s="35" t="s">
        <v>848</v>
      </c>
    </row>
    <row r="349" spans="1:17" x14ac:dyDescent="0.45">
      <c r="A349" s="23">
        <v>328</v>
      </c>
      <c r="B349" s="23" t="s">
        <v>847</v>
      </c>
      <c r="C349" s="35" t="s">
        <v>3</v>
      </c>
      <c r="E349" s="23">
        <v>1274</v>
      </c>
      <c r="F349" s="23">
        <v>128</v>
      </c>
      <c r="G349" s="23">
        <v>162</v>
      </c>
      <c r="H349" s="23">
        <v>78</v>
      </c>
      <c r="I349" s="23" t="s">
        <v>337</v>
      </c>
      <c r="J349" s="23" t="s">
        <v>337</v>
      </c>
      <c r="K349" s="23" t="s">
        <v>337</v>
      </c>
      <c r="M349" s="23">
        <v>5</v>
      </c>
      <c r="N349" s="35" t="s">
        <v>846</v>
      </c>
      <c r="O349" s="27"/>
      <c r="P349" s="35" t="s">
        <v>3280</v>
      </c>
      <c r="Q349" s="31" t="s">
        <v>3338</v>
      </c>
    </row>
    <row r="350" spans="1:17" x14ac:dyDescent="0.45">
      <c r="A350" s="23">
        <v>329</v>
      </c>
      <c r="B350" s="23" t="s">
        <v>845</v>
      </c>
      <c r="C350" s="35" t="s">
        <v>3</v>
      </c>
      <c r="D350" s="30" t="s">
        <v>90</v>
      </c>
      <c r="E350" s="23">
        <v>1225</v>
      </c>
      <c r="F350" s="23">
        <v>137</v>
      </c>
      <c r="G350" s="23">
        <v>134</v>
      </c>
      <c r="H350" s="23">
        <v>99</v>
      </c>
      <c r="I350" s="23" t="s">
        <v>337</v>
      </c>
      <c r="J350" s="23" t="s">
        <v>337</v>
      </c>
      <c r="K350" s="23" t="s">
        <v>337</v>
      </c>
      <c r="M350" s="23">
        <v>5</v>
      </c>
      <c r="N350" s="35" t="s">
        <v>844</v>
      </c>
      <c r="O350" s="35"/>
      <c r="P350" s="35" t="s">
        <v>3281</v>
      </c>
      <c r="Q350" s="31" t="s">
        <v>3338</v>
      </c>
    </row>
    <row r="351" spans="1:17" x14ac:dyDescent="0.45">
      <c r="A351" s="23">
        <v>330</v>
      </c>
      <c r="B351" s="23" t="s">
        <v>89</v>
      </c>
      <c r="C351" s="35" t="s">
        <v>3</v>
      </c>
      <c r="D351" s="30" t="s">
        <v>90</v>
      </c>
      <c r="E351" s="23">
        <v>2661</v>
      </c>
      <c r="F351" s="23">
        <v>190</v>
      </c>
      <c r="G351" s="23">
        <v>205</v>
      </c>
      <c r="H351" s="23">
        <v>168</v>
      </c>
      <c r="I351" s="23" t="s">
        <v>337</v>
      </c>
      <c r="J351" s="23" t="s">
        <v>337</v>
      </c>
      <c r="K351" s="23" t="s">
        <v>337</v>
      </c>
      <c r="M351" s="23">
        <v>5</v>
      </c>
      <c r="N351" s="30" t="s">
        <v>560</v>
      </c>
      <c r="O351" s="35"/>
      <c r="P351" s="35" t="s">
        <v>3282</v>
      </c>
      <c r="Q351" s="31" t="s">
        <v>3380</v>
      </c>
    </row>
    <row r="352" spans="1:17" x14ac:dyDescent="0.45">
      <c r="A352" s="23">
        <v>331</v>
      </c>
      <c r="B352" s="23" t="s">
        <v>843</v>
      </c>
      <c r="C352" s="36" t="s">
        <v>12</v>
      </c>
      <c r="D352" s="30"/>
      <c r="E352" s="23">
        <v>1242</v>
      </c>
      <c r="F352" s="23">
        <v>137</v>
      </c>
      <c r="G352" s="23">
        <v>156</v>
      </c>
      <c r="H352" s="23">
        <v>74</v>
      </c>
      <c r="J352" s="23" t="s">
        <v>337</v>
      </c>
      <c r="K352" s="23" t="s">
        <v>337</v>
      </c>
      <c r="M352" s="23">
        <v>3</v>
      </c>
      <c r="N352" s="37" t="s">
        <v>842</v>
      </c>
      <c r="O352" s="30"/>
      <c r="P352" s="28" t="s">
        <v>3283</v>
      </c>
      <c r="Q352" s="31" t="s">
        <v>3338</v>
      </c>
    </row>
    <row r="353" spans="1:17" x14ac:dyDescent="0.45">
      <c r="A353" s="23">
        <v>332</v>
      </c>
      <c r="B353" s="23" t="s">
        <v>192</v>
      </c>
      <c r="C353" s="36" t="s">
        <v>12</v>
      </c>
      <c r="D353" s="29" t="s">
        <v>78</v>
      </c>
      <c r="E353" s="23">
        <v>2298</v>
      </c>
      <c r="F353" s="23">
        <v>172</v>
      </c>
      <c r="G353" s="23">
        <v>221</v>
      </c>
      <c r="H353" s="23">
        <v>115</v>
      </c>
      <c r="J353" s="23" t="s">
        <v>337</v>
      </c>
      <c r="K353" s="23" t="s">
        <v>337</v>
      </c>
      <c r="M353" s="23">
        <v>3</v>
      </c>
      <c r="N353" s="37" t="s">
        <v>841</v>
      </c>
      <c r="O353" s="37"/>
      <c r="P353" s="29" t="s">
        <v>3284</v>
      </c>
      <c r="Q353" s="31" t="s">
        <v>3338</v>
      </c>
    </row>
    <row r="354" spans="1:17" x14ac:dyDescent="0.45">
      <c r="A354" s="23">
        <v>333</v>
      </c>
      <c r="B354" s="23" t="s">
        <v>840</v>
      </c>
      <c r="C354" s="31" t="s">
        <v>68</v>
      </c>
      <c r="D354" s="38" t="s">
        <v>72</v>
      </c>
      <c r="E354" s="23">
        <v>824</v>
      </c>
      <c r="F354" s="23">
        <v>128</v>
      </c>
      <c r="G354" s="23">
        <v>76</v>
      </c>
      <c r="H354" s="23">
        <v>132</v>
      </c>
      <c r="I354" s="23" t="s">
        <v>337</v>
      </c>
      <c r="K354" s="23" t="s">
        <v>337</v>
      </c>
      <c r="L354" s="23">
        <v>2</v>
      </c>
      <c r="M354" s="23">
        <v>1</v>
      </c>
      <c r="N354" s="34" t="s">
        <v>839</v>
      </c>
      <c r="O354" s="37"/>
      <c r="P354" s="40" t="s">
        <v>838</v>
      </c>
    </row>
    <row r="355" spans="1:17" x14ac:dyDescent="0.45">
      <c r="A355" s="23">
        <v>334</v>
      </c>
      <c r="B355" s="23" t="s">
        <v>255</v>
      </c>
      <c r="C355" s="38" t="s">
        <v>72</v>
      </c>
      <c r="D355" s="30" t="s">
        <v>90</v>
      </c>
      <c r="E355" s="23">
        <v>2004</v>
      </c>
      <c r="F355" s="23">
        <v>181</v>
      </c>
      <c r="G355" s="23">
        <v>141</v>
      </c>
      <c r="H355" s="23">
        <v>201</v>
      </c>
      <c r="I355" s="23" t="s">
        <v>337</v>
      </c>
      <c r="M355" s="23">
        <v>1</v>
      </c>
      <c r="N355" s="38" t="s">
        <v>837</v>
      </c>
      <c r="O355" s="34"/>
      <c r="P355" s="38" t="s">
        <v>3285</v>
      </c>
    </row>
    <row r="356" spans="1:17" x14ac:dyDescent="0.45">
      <c r="A356" s="23">
        <v>335</v>
      </c>
      <c r="B356" s="23" t="s">
        <v>239</v>
      </c>
      <c r="C356" s="31" t="s">
        <v>68</v>
      </c>
      <c r="D356" s="30"/>
      <c r="E356" s="23">
        <v>2418</v>
      </c>
      <c r="F356" s="23">
        <v>177</v>
      </c>
      <c r="G356" s="23">
        <v>222</v>
      </c>
      <c r="H356" s="23">
        <v>124</v>
      </c>
      <c r="I356" s="23" t="s">
        <v>337</v>
      </c>
      <c r="K356" s="23" t="s">
        <v>337</v>
      </c>
      <c r="L356" s="23">
        <v>5</v>
      </c>
      <c r="M356" s="23">
        <v>3</v>
      </c>
      <c r="N356" s="34" t="s">
        <v>836</v>
      </c>
      <c r="O356" s="38"/>
      <c r="P356" s="35" t="s">
        <v>835</v>
      </c>
    </row>
    <row r="357" spans="1:17" x14ac:dyDescent="0.45">
      <c r="A357" s="23">
        <v>336</v>
      </c>
      <c r="B357" s="23" t="s">
        <v>834</v>
      </c>
      <c r="C357" s="37" t="s">
        <v>32</v>
      </c>
      <c r="E357" s="23">
        <v>2105</v>
      </c>
      <c r="F357" s="23">
        <v>177</v>
      </c>
      <c r="G357" s="23">
        <v>196</v>
      </c>
      <c r="H357" s="23">
        <v>118</v>
      </c>
      <c r="I357" s="23" t="s">
        <v>337</v>
      </c>
      <c r="K357" s="23" t="s">
        <v>337</v>
      </c>
      <c r="L357" s="23">
        <v>5</v>
      </c>
      <c r="M357" s="23">
        <v>3</v>
      </c>
      <c r="N357" s="26" t="s">
        <v>833</v>
      </c>
      <c r="O357" s="34"/>
      <c r="P357" s="29" t="s">
        <v>832</v>
      </c>
    </row>
    <row r="358" spans="1:17" x14ac:dyDescent="0.45">
      <c r="A358" s="23">
        <v>337</v>
      </c>
      <c r="B358" s="23" t="s">
        <v>831</v>
      </c>
      <c r="C358" s="41" t="s">
        <v>43</v>
      </c>
      <c r="D358" s="27" t="s">
        <v>18</v>
      </c>
      <c r="E358" s="23">
        <v>2327</v>
      </c>
      <c r="F358" s="23">
        <v>207</v>
      </c>
      <c r="G358" s="23">
        <v>178</v>
      </c>
      <c r="H358" s="23">
        <v>153</v>
      </c>
      <c r="I358" s="23" t="s">
        <v>337</v>
      </c>
      <c r="K358" s="23" t="s">
        <v>337</v>
      </c>
      <c r="L358" s="23">
        <v>5</v>
      </c>
      <c r="M358" s="23">
        <v>3</v>
      </c>
      <c r="N358" s="41" t="s">
        <v>828</v>
      </c>
      <c r="O358" s="26"/>
      <c r="P358" s="41" t="s">
        <v>830</v>
      </c>
    </row>
    <row r="359" spans="1:17" x14ac:dyDescent="0.45">
      <c r="A359" s="23">
        <v>338</v>
      </c>
      <c r="B359" s="23" t="s">
        <v>829</v>
      </c>
      <c r="C359" s="41" t="s">
        <v>43</v>
      </c>
      <c r="D359" s="27" t="s">
        <v>18</v>
      </c>
      <c r="E359" s="23">
        <v>2327</v>
      </c>
      <c r="F359" s="23">
        <v>207</v>
      </c>
      <c r="G359" s="23">
        <v>178</v>
      </c>
      <c r="H359" s="23">
        <v>153</v>
      </c>
      <c r="I359" s="23" t="s">
        <v>337</v>
      </c>
      <c r="K359" s="23" t="s">
        <v>337</v>
      </c>
      <c r="L359" s="23">
        <v>5</v>
      </c>
      <c r="M359" s="23">
        <v>3</v>
      </c>
      <c r="N359" s="41" t="s">
        <v>828</v>
      </c>
      <c r="O359" s="41"/>
      <c r="P359" s="41" t="s">
        <v>827</v>
      </c>
    </row>
    <row r="360" spans="1:17" x14ac:dyDescent="0.45">
      <c r="A360" s="23">
        <v>339</v>
      </c>
      <c r="B360" s="23" t="s">
        <v>826</v>
      </c>
      <c r="C360" s="35" t="s">
        <v>3</v>
      </c>
      <c r="D360" s="39" t="s">
        <v>111</v>
      </c>
      <c r="E360" s="23">
        <v>819</v>
      </c>
      <c r="F360" s="23">
        <v>137</v>
      </c>
      <c r="G360" s="23">
        <v>93</v>
      </c>
      <c r="H360" s="23">
        <v>82</v>
      </c>
      <c r="I360" s="23" t="s">
        <v>337</v>
      </c>
      <c r="K360" s="23" t="s">
        <v>337</v>
      </c>
      <c r="M360" s="23">
        <v>1</v>
      </c>
      <c r="N360" s="35" t="s">
        <v>824</v>
      </c>
      <c r="O360" s="41"/>
      <c r="P360" s="39" t="s">
        <v>825</v>
      </c>
    </row>
    <row r="361" spans="1:17" x14ac:dyDescent="0.45">
      <c r="A361" s="23">
        <v>340</v>
      </c>
      <c r="B361" s="23" t="s">
        <v>145</v>
      </c>
      <c r="C361" s="35" t="s">
        <v>3</v>
      </c>
      <c r="D361" s="39" t="s">
        <v>111</v>
      </c>
      <c r="E361" s="23">
        <v>2075</v>
      </c>
      <c r="F361" s="23">
        <v>242</v>
      </c>
      <c r="G361" s="23">
        <v>151</v>
      </c>
      <c r="H361" s="23">
        <v>141</v>
      </c>
      <c r="I361" s="23" t="s">
        <v>337</v>
      </c>
      <c r="K361" s="23" t="s">
        <v>337</v>
      </c>
      <c r="M361" s="23">
        <v>1</v>
      </c>
      <c r="N361" s="35" t="s">
        <v>824</v>
      </c>
      <c r="O361" s="35"/>
      <c r="P361" s="35" t="s">
        <v>823</v>
      </c>
    </row>
    <row r="362" spans="1:17" x14ac:dyDescent="0.45">
      <c r="A362" s="23">
        <v>341</v>
      </c>
      <c r="B362" s="23" t="s">
        <v>822</v>
      </c>
      <c r="C362" s="39" t="s">
        <v>111</v>
      </c>
      <c r="D362" s="39"/>
      <c r="E362" s="23">
        <v>1230</v>
      </c>
      <c r="F362" s="23">
        <v>125</v>
      </c>
      <c r="G362" s="23">
        <v>141</v>
      </c>
      <c r="H362" s="23">
        <v>99</v>
      </c>
      <c r="K362" s="23" t="s">
        <v>337</v>
      </c>
      <c r="M362" s="23">
        <v>3</v>
      </c>
      <c r="N362" s="39" t="s">
        <v>821</v>
      </c>
      <c r="O362" s="35"/>
      <c r="P362" s="39" t="s">
        <v>820</v>
      </c>
    </row>
    <row r="363" spans="1:17" x14ac:dyDescent="0.45">
      <c r="A363" s="23">
        <v>342</v>
      </c>
      <c r="B363" s="23" t="s">
        <v>207</v>
      </c>
      <c r="C363" s="39" t="s">
        <v>111</v>
      </c>
      <c r="D363" s="29" t="s">
        <v>78</v>
      </c>
      <c r="E363" s="23">
        <v>2474</v>
      </c>
      <c r="F363" s="23">
        <v>160</v>
      </c>
      <c r="G363" s="23">
        <v>224</v>
      </c>
      <c r="H363" s="23">
        <v>142</v>
      </c>
      <c r="K363" s="23" t="s">
        <v>337</v>
      </c>
      <c r="M363" s="23">
        <v>3</v>
      </c>
      <c r="N363" s="39" t="s">
        <v>819</v>
      </c>
      <c r="O363" s="39"/>
      <c r="P363" s="39" t="s">
        <v>818</v>
      </c>
    </row>
    <row r="364" spans="1:17" x14ac:dyDescent="0.45">
      <c r="A364" s="23">
        <v>343</v>
      </c>
      <c r="B364" s="23" t="s">
        <v>817</v>
      </c>
      <c r="C364" s="35" t="s">
        <v>3</v>
      </c>
      <c r="D364" s="27" t="s">
        <v>18</v>
      </c>
      <c r="E364" s="23">
        <v>787</v>
      </c>
      <c r="F364" s="23">
        <v>120</v>
      </c>
      <c r="G364" s="23">
        <v>77</v>
      </c>
      <c r="H364" s="23">
        <v>124</v>
      </c>
      <c r="K364" s="23" t="s">
        <v>337</v>
      </c>
      <c r="M364" s="23">
        <v>3</v>
      </c>
      <c r="N364" s="27" t="s">
        <v>487</v>
      </c>
      <c r="O364" s="39"/>
      <c r="P364" s="35" t="s">
        <v>816</v>
      </c>
    </row>
    <row r="365" spans="1:17" x14ac:dyDescent="0.45">
      <c r="A365" s="23">
        <v>344</v>
      </c>
      <c r="B365" s="23" t="s">
        <v>102</v>
      </c>
      <c r="C365" s="35" t="s">
        <v>3</v>
      </c>
      <c r="D365" s="27" t="s">
        <v>18</v>
      </c>
      <c r="E365" s="23">
        <v>1971</v>
      </c>
      <c r="F365" s="23">
        <v>155</v>
      </c>
      <c r="G365" s="23">
        <v>140</v>
      </c>
      <c r="H365" s="23">
        <v>229</v>
      </c>
      <c r="K365" s="23" t="s">
        <v>337</v>
      </c>
      <c r="M365" s="23">
        <v>3</v>
      </c>
      <c r="N365" s="27" t="s">
        <v>815</v>
      </c>
      <c r="O365" s="27"/>
      <c r="P365" s="27" t="s">
        <v>814</v>
      </c>
    </row>
    <row r="366" spans="1:17" x14ac:dyDescent="0.45">
      <c r="A366" s="23">
        <v>345</v>
      </c>
      <c r="B366" s="23" t="s">
        <v>813</v>
      </c>
      <c r="C366" s="41" t="s">
        <v>43</v>
      </c>
      <c r="D366" s="36" t="s">
        <v>12</v>
      </c>
      <c r="E366" s="23">
        <v>1291</v>
      </c>
      <c r="F366" s="23">
        <v>165</v>
      </c>
      <c r="G366" s="23">
        <v>105</v>
      </c>
      <c r="H366" s="23">
        <v>150</v>
      </c>
      <c r="I366" s="23" t="s">
        <v>337</v>
      </c>
      <c r="K366" s="23" t="s">
        <v>337</v>
      </c>
      <c r="L366" s="23">
        <v>5</v>
      </c>
      <c r="M366" s="23">
        <v>3</v>
      </c>
      <c r="N366" s="32" t="s">
        <v>810</v>
      </c>
      <c r="O366" s="27"/>
      <c r="P366" s="36" t="s">
        <v>812</v>
      </c>
    </row>
    <row r="367" spans="1:17" x14ac:dyDescent="0.45">
      <c r="A367" s="23">
        <v>346</v>
      </c>
      <c r="B367" s="23" t="s">
        <v>811</v>
      </c>
      <c r="C367" s="41" t="s">
        <v>43</v>
      </c>
      <c r="D367" s="36" t="s">
        <v>12</v>
      </c>
      <c r="E367" s="23">
        <v>2211</v>
      </c>
      <c r="F367" s="23">
        <v>200</v>
      </c>
      <c r="G367" s="23">
        <v>152</v>
      </c>
      <c r="H367" s="23">
        <v>194</v>
      </c>
      <c r="I367" s="23" t="s">
        <v>337</v>
      </c>
      <c r="K367" s="23" t="s">
        <v>337</v>
      </c>
      <c r="M367" s="23">
        <v>3</v>
      </c>
      <c r="N367" s="32" t="s">
        <v>810</v>
      </c>
      <c r="O367" s="32"/>
      <c r="P367" s="36" t="s">
        <v>809</v>
      </c>
    </row>
    <row r="368" spans="1:17" x14ac:dyDescent="0.45">
      <c r="A368" s="23">
        <v>347</v>
      </c>
      <c r="B368" s="23" t="s">
        <v>808</v>
      </c>
      <c r="C368" s="32" t="s">
        <v>29</v>
      </c>
      <c r="D368" s="41" t="s">
        <v>43</v>
      </c>
      <c r="E368" s="23">
        <v>1529</v>
      </c>
      <c r="F368" s="23">
        <v>128</v>
      </c>
      <c r="G368" s="23">
        <v>176</v>
      </c>
      <c r="H368" s="23">
        <v>100</v>
      </c>
      <c r="I368" s="23" t="s">
        <v>337</v>
      </c>
      <c r="K368" s="23" t="s">
        <v>337</v>
      </c>
      <c r="L368" s="23">
        <v>5</v>
      </c>
      <c r="M368" s="23">
        <v>3</v>
      </c>
      <c r="N368" s="31" t="s">
        <v>807</v>
      </c>
      <c r="O368" s="32"/>
      <c r="P368" s="39" t="s">
        <v>806</v>
      </c>
    </row>
    <row r="369" spans="1:17" x14ac:dyDescent="0.45">
      <c r="A369" s="23">
        <v>348</v>
      </c>
      <c r="B369" s="23" t="s">
        <v>805</v>
      </c>
      <c r="C369" s="32" t="s">
        <v>29</v>
      </c>
      <c r="D369" s="41" t="s">
        <v>43</v>
      </c>
      <c r="E369" s="23">
        <v>2848</v>
      </c>
      <c r="F369" s="23">
        <v>181</v>
      </c>
      <c r="G369" s="23">
        <v>222</v>
      </c>
      <c r="H369" s="23">
        <v>174</v>
      </c>
      <c r="I369" s="23" t="s">
        <v>337</v>
      </c>
      <c r="K369" s="23" t="s">
        <v>337</v>
      </c>
      <c r="M369" s="23">
        <v>3</v>
      </c>
      <c r="N369" s="32" t="s">
        <v>675</v>
      </c>
      <c r="O369" s="31"/>
      <c r="P369" s="37" t="s">
        <v>804</v>
      </c>
    </row>
    <row r="370" spans="1:17" x14ac:dyDescent="0.45">
      <c r="A370" s="23">
        <v>349</v>
      </c>
      <c r="B370" s="23" t="s">
        <v>803</v>
      </c>
      <c r="C370" s="39" t="s">
        <v>111</v>
      </c>
      <c r="D370" s="41"/>
      <c r="E370" s="23">
        <v>274</v>
      </c>
      <c r="F370" s="23">
        <v>85</v>
      </c>
      <c r="G370" s="23">
        <v>29</v>
      </c>
      <c r="H370" s="23">
        <v>85</v>
      </c>
      <c r="I370" s="23" t="s">
        <v>337</v>
      </c>
      <c r="K370" s="23" t="s">
        <v>337</v>
      </c>
      <c r="L370" s="23">
        <v>10</v>
      </c>
      <c r="M370" s="23">
        <v>5</v>
      </c>
      <c r="N370" s="31" t="s">
        <v>802</v>
      </c>
      <c r="O370" s="32"/>
      <c r="P370" s="27" t="s">
        <v>778</v>
      </c>
    </row>
    <row r="371" spans="1:17" x14ac:dyDescent="0.45">
      <c r="A371" s="23">
        <v>350</v>
      </c>
      <c r="B371" s="23" t="s">
        <v>219</v>
      </c>
      <c r="C371" s="39" t="s">
        <v>111</v>
      </c>
      <c r="E371" s="23">
        <v>3005</v>
      </c>
      <c r="F371" s="23">
        <v>216</v>
      </c>
      <c r="G371" s="23">
        <v>192</v>
      </c>
      <c r="H371" s="23">
        <v>219</v>
      </c>
      <c r="I371" s="23" t="s">
        <v>337</v>
      </c>
      <c r="M371" s="23">
        <v>5</v>
      </c>
      <c r="N371" s="39" t="s">
        <v>801</v>
      </c>
      <c r="O371" s="31"/>
      <c r="P371" s="39" t="s">
        <v>800</v>
      </c>
    </row>
    <row r="372" spans="1:17" x14ac:dyDescent="0.45">
      <c r="A372" s="23">
        <v>351</v>
      </c>
      <c r="B372" s="23" t="s">
        <v>793</v>
      </c>
      <c r="C372" s="31" t="s">
        <v>68</v>
      </c>
      <c r="E372" s="23">
        <v>1632</v>
      </c>
      <c r="F372" s="23">
        <v>172</v>
      </c>
      <c r="G372" s="23">
        <v>139</v>
      </c>
      <c r="H372" s="23">
        <v>139</v>
      </c>
      <c r="I372" s="23" t="s">
        <v>337</v>
      </c>
      <c r="K372" s="23" t="s">
        <v>337</v>
      </c>
      <c r="M372" s="23">
        <v>5</v>
      </c>
      <c r="N372" s="31" t="s">
        <v>792</v>
      </c>
      <c r="O372" s="39"/>
      <c r="P372" s="31" t="s">
        <v>791</v>
      </c>
    </row>
    <row r="373" spans="1:17" x14ac:dyDescent="0.45">
      <c r="A373" s="23">
        <v>351</v>
      </c>
      <c r="B373" s="23" t="s">
        <v>799</v>
      </c>
      <c r="C373" s="39" t="s">
        <v>111</v>
      </c>
      <c r="E373" s="23">
        <v>1632</v>
      </c>
      <c r="F373" s="23">
        <v>172</v>
      </c>
      <c r="G373" s="23">
        <v>139</v>
      </c>
      <c r="H373" s="23">
        <v>139</v>
      </c>
      <c r="K373" s="23" t="s">
        <v>337</v>
      </c>
      <c r="M373" s="23">
        <v>5</v>
      </c>
      <c r="N373" s="31" t="s">
        <v>450</v>
      </c>
      <c r="O373" s="31"/>
      <c r="P373" s="39" t="s">
        <v>798</v>
      </c>
    </row>
    <row r="374" spans="1:17" x14ac:dyDescent="0.45">
      <c r="A374" s="23">
        <v>351</v>
      </c>
      <c r="B374" s="23" t="s">
        <v>139</v>
      </c>
      <c r="C374" s="33" t="s">
        <v>22</v>
      </c>
      <c r="E374" s="23">
        <v>1632</v>
      </c>
      <c r="F374" s="23">
        <v>172</v>
      </c>
      <c r="G374" s="23">
        <v>139</v>
      </c>
      <c r="H374" s="23">
        <v>139</v>
      </c>
      <c r="K374" s="23" t="s">
        <v>337</v>
      </c>
      <c r="M374" s="23">
        <v>5</v>
      </c>
      <c r="N374" s="31" t="s">
        <v>455</v>
      </c>
      <c r="O374" s="31"/>
      <c r="P374" s="33" t="s">
        <v>797</v>
      </c>
    </row>
    <row r="375" spans="1:17" x14ac:dyDescent="0.45">
      <c r="A375" s="23">
        <v>351</v>
      </c>
      <c r="B375" s="23" t="s">
        <v>796</v>
      </c>
      <c r="C375" s="42" t="s">
        <v>62</v>
      </c>
      <c r="E375" s="23">
        <v>1632</v>
      </c>
      <c r="F375" s="23">
        <v>172</v>
      </c>
      <c r="G375" s="23">
        <v>139</v>
      </c>
      <c r="H375" s="23">
        <v>139</v>
      </c>
      <c r="K375" s="23" t="s">
        <v>337</v>
      </c>
      <c r="M375" s="23">
        <v>5</v>
      </c>
      <c r="N375" s="42" t="s">
        <v>795</v>
      </c>
      <c r="O375" s="31"/>
      <c r="P375" s="42" t="s">
        <v>794</v>
      </c>
    </row>
    <row r="376" spans="1:17" x14ac:dyDescent="0.45">
      <c r="A376" s="23">
        <v>353</v>
      </c>
      <c r="B376" s="23" t="s">
        <v>790</v>
      </c>
      <c r="C376" s="34" t="s">
        <v>16</v>
      </c>
      <c r="E376" s="23">
        <v>1018</v>
      </c>
      <c r="F376" s="23">
        <v>127</v>
      </c>
      <c r="G376" s="23">
        <v>138</v>
      </c>
      <c r="H376" s="23">
        <v>65</v>
      </c>
      <c r="I376" s="23" t="s">
        <v>337</v>
      </c>
      <c r="J376" s="23" t="s">
        <v>337</v>
      </c>
      <c r="K376" s="23" t="s">
        <v>337</v>
      </c>
      <c r="M376" s="23">
        <v>3</v>
      </c>
      <c r="N376" s="34" t="s">
        <v>382</v>
      </c>
      <c r="O376" s="42"/>
      <c r="P376" s="34" t="s">
        <v>3286</v>
      </c>
      <c r="Q376" s="31" t="s">
        <v>3338</v>
      </c>
    </row>
    <row r="377" spans="1:17" x14ac:dyDescent="0.45">
      <c r="A377" s="23">
        <v>354</v>
      </c>
      <c r="B377" s="23" t="s">
        <v>191</v>
      </c>
      <c r="C377" s="34" t="s">
        <v>16</v>
      </c>
      <c r="E377" s="23">
        <v>2298</v>
      </c>
      <c r="F377" s="23">
        <v>162</v>
      </c>
      <c r="G377" s="23">
        <v>218</v>
      </c>
      <c r="H377" s="23">
        <v>126</v>
      </c>
      <c r="I377" s="23" t="s">
        <v>337</v>
      </c>
      <c r="J377" s="23" t="s">
        <v>337</v>
      </c>
      <c r="K377" s="23" t="s">
        <v>337</v>
      </c>
      <c r="M377" s="23">
        <v>3</v>
      </c>
      <c r="N377" s="34" t="s">
        <v>789</v>
      </c>
      <c r="O377" s="34"/>
      <c r="P377" s="25" t="s">
        <v>3287</v>
      </c>
      <c r="Q377" s="31" t="s">
        <v>3338</v>
      </c>
    </row>
    <row r="378" spans="1:17" x14ac:dyDescent="0.45">
      <c r="A378" s="23">
        <v>355</v>
      </c>
      <c r="B378" s="23" t="s">
        <v>788</v>
      </c>
      <c r="C378" s="34" t="s">
        <v>16</v>
      </c>
      <c r="E378" s="23">
        <v>706</v>
      </c>
      <c r="F378" s="23">
        <v>85</v>
      </c>
      <c r="G378" s="23">
        <v>70</v>
      </c>
      <c r="H378" s="23">
        <v>162</v>
      </c>
      <c r="I378" s="23" t="s">
        <v>337</v>
      </c>
      <c r="J378" s="23" t="s">
        <v>337</v>
      </c>
      <c r="K378" s="23" t="s">
        <v>337</v>
      </c>
      <c r="M378" s="23">
        <v>3</v>
      </c>
      <c r="N378" s="34" t="s">
        <v>496</v>
      </c>
      <c r="O378" s="34"/>
      <c r="P378" s="34" t="s">
        <v>3286</v>
      </c>
      <c r="Q378" s="31" t="s">
        <v>3338</v>
      </c>
    </row>
    <row r="379" spans="1:17" x14ac:dyDescent="0.45">
      <c r="A379" s="23">
        <v>356</v>
      </c>
      <c r="B379" s="23" t="s">
        <v>15</v>
      </c>
      <c r="C379" s="34" t="s">
        <v>16</v>
      </c>
      <c r="E379" s="23">
        <v>1591</v>
      </c>
      <c r="F379" s="23">
        <v>120</v>
      </c>
      <c r="G379" s="23">
        <v>124</v>
      </c>
      <c r="H379" s="23">
        <v>234</v>
      </c>
      <c r="I379" s="23" t="s">
        <v>337</v>
      </c>
      <c r="J379" s="23" t="s">
        <v>337</v>
      </c>
      <c r="K379" s="23" t="s">
        <v>337</v>
      </c>
      <c r="M379" s="23">
        <v>3</v>
      </c>
      <c r="N379" s="34" t="s">
        <v>787</v>
      </c>
      <c r="O379" s="34"/>
      <c r="P379" s="34" t="s">
        <v>3288</v>
      </c>
      <c r="Q379" s="31" t="s">
        <v>3338</v>
      </c>
    </row>
    <row r="380" spans="1:17" x14ac:dyDescent="0.45">
      <c r="A380" s="23">
        <v>357</v>
      </c>
      <c r="B380" s="23" t="s">
        <v>786</v>
      </c>
      <c r="C380" s="38" t="s">
        <v>72</v>
      </c>
      <c r="D380" s="36" t="s">
        <v>12</v>
      </c>
      <c r="E380" s="23">
        <v>1941</v>
      </c>
      <c r="F380" s="23">
        <v>223</v>
      </c>
      <c r="G380" s="23">
        <v>136</v>
      </c>
      <c r="H380" s="23">
        <v>163</v>
      </c>
      <c r="K380" s="23" t="s">
        <v>337</v>
      </c>
      <c r="L380" s="23">
        <v>5</v>
      </c>
      <c r="M380" s="23">
        <v>5</v>
      </c>
      <c r="N380" s="38" t="s">
        <v>785</v>
      </c>
      <c r="O380" s="34"/>
      <c r="P380" s="38" t="s">
        <v>784</v>
      </c>
    </row>
    <row r="381" spans="1:17" x14ac:dyDescent="0.45">
      <c r="A381" s="23">
        <v>358</v>
      </c>
      <c r="B381" s="23" t="s">
        <v>35</v>
      </c>
      <c r="C381" s="27" t="s">
        <v>18</v>
      </c>
      <c r="D381" s="36"/>
      <c r="E381" s="23">
        <v>2259</v>
      </c>
      <c r="F381" s="23">
        <v>181</v>
      </c>
      <c r="G381" s="23">
        <v>175</v>
      </c>
      <c r="H381" s="23">
        <v>170</v>
      </c>
      <c r="K381" s="23" t="s">
        <v>337</v>
      </c>
      <c r="M381" s="23">
        <v>5</v>
      </c>
      <c r="N381" s="34" t="s">
        <v>783</v>
      </c>
      <c r="O381" s="38"/>
      <c r="P381" s="36" t="s">
        <v>782</v>
      </c>
    </row>
    <row r="382" spans="1:17" x14ac:dyDescent="0.45">
      <c r="A382" s="23">
        <v>359</v>
      </c>
      <c r="B382" s="23" t="s">
        <v>98</v>
      </c>
      <c r="C382" s="29" t="s">
        <v>78</v>
      </c>
      <c r="E382" s="23">
        <v>2526</v>
      </c>
      <c r="F382" s="23">
        <v>163</v>
      </c>
      <c r="G382" s="23">
        <v>246</v>
      </c>
      <c r="H382" s="23">
        <v>120</v>
      </c>
      <c r="I382" s="23" t="s">
        <v>337</v>
      </c>
      <c r="J382" s="23" t="s">
        <v>337</v>
      </c>
      <c r="K382" s="23" t="s">
        <v>337</v>
      </c>
      <c r="L382" s="23">
        <v>10</v>
      </c>
      <c r="M382" s="23">
        <v>5</v>
      </c>
      <c r="N382" s="27" t="s">
        <v>781</v>
      </c>
      <c r="O382" s="34"/>
      <c r="P382" s="29" t="s">
        <v>3289</v>
      </c>
      <c r="Q382" s="31" t="s">
        <v>3338</v>
      </c>
    </row>
    <row r="383" spans="1:17" x14ac:dyDescent="0.45">
      <c r="A383" s="23">
        <v>360</v>
      </c>
      <c r="B383" s="23" t="s">
        <v>780</v>
      </c>
      <c r="C383" s="27" t="s">
        <v>18</v>
      </c>
      <c r="E383" s="23">
        <v>534</v>
      </c>
      <c r="F383" s="23">
        <v>216</v>
      </c>
      <c r="G383" s="23">
        <v>41</v>
      </c>
      <c r="H383" s="23">
        <v>86</v>
      </c>
      <c r="I383" s="23" t="s">
        <v>337</v>
      </c>
      <c r="M383" s="23">
        <v>3</v>
      </c>
      <c r="N383" s="28" t="s">
        <v>779</v>
      </c>
      <c r="O383" s="27"/>
      <c r="P383" s="27" t="s">
        <v>778</v>
      </c>
    </row>
    <row r="384" spans="1:17" x14ac:dyDescent="0.45">
      <c r="A384" s="23">
        <v>361</v>
      </c>
      <c r="B384" s="23" t="s">
        <v>777</v>
      </c>
      <c r="C384" s="42" t="s">
        <v>62</v>
      </c>
      <c r="E384" s="23">
        <v>888</v>
      </c>
      <c r="F384" s="23">
        <v>137</v>
      </c>
      <c r="G384" s="23">
        <v>95</v>
      </c>
      <c r="H384" s="23">
        <v>95</v>
      </c>
      <c r="I384" s="23" t="s">
        <v>337</v>
      </c>
      <c r="K384" s="23" t="s">
        <v>337</v>
      </c>
      <c r="M384" s="23">
        <v>3</v>
      </c>
      <c r="N384" s="42" t="s">
        <v>494</v>
      </c>
      <c r="O384" s="28"/>
      <c r="P384" s="42" t="s">
        <v>776</v>
      </c>
    </row>
    <row r="385" spans="1:17" x14ac:dyDescent="0.45">
      <c r="A385" s="23">
        <v>362</v>
      </c>
      <c r="B385" s="23" t="s">
        <v>775</v>
      </c>
      <c r="C385" s="42" t="s">
        <v>62</v>
      </c>
      <c r="E385" s="23">
        <v>2105</v>
      </c>
      <c r="F385" s="23">
        <v>190</v>
      </c>
      <c r="G385" s="23">
        <v>162</v>
      </c>
      <c r="H385" s="23">
        <v>162</v>
      </c>
      <c r="I385" s="23" t="s">
        <v>337</v>
      </c>
      <c r="K385" s="23" t="s">
        <v>337</v>
      </c>
      <c r="M385" s="23">
        <v>3</v>
      </c>
      <c r="N385" s="42" t="s">
        <v>506</v>
      </c>
      <c r="O385" s="42"/>
      <c r="P385" s="34" t="s">
        <v>774</v>
      </c>
    </row>
    <row r="386" spans="1:17" x14ac:dyDescent="0.45">
      <c r="A386" s="23">
        <v>363</v>
      </c>
      <c r="B386" s="23" t="s">
        <v>773</v>
      </c>
      <c r="C386" s="39" t="s">
        <v>111</v>
      </c>
      <c r="D386" s="42" t="s">
        <v>62</v>
      </c>
      <c r="E386" s="23">
        <v>962</v>
      </c>
      <c r="F386" s="23">
        <v>172</v>
      </c>
      <c r="G386" s="23">
        <v>95</v>
      </c>
      <c r="H386" s="23">
        <v>90</v>
      </c>
      <c r="K386" s="23" t="s">
        <v>337</v>
      </c>
      <c r="M386" s="23">
        <v>3</v>
      </c>
      <c r="N386" s="28" t="s">
        <v>772</v>
      </c>
      <c r="O386" s="42"/>
      <c r="P386" s="42" t="s">
        <v>769</v>
      </c>
    </row>
    <row r="387" spans="1:17" x14ac:dyDescent="0.45">
      <c r="A387" s="23">
        <v>364</v>
      </c>
      <c r="B387" s="23" t="s">
        <v>771</v>
      </c>
      <c r="C387" s="39" t="s">
        <v>111</v>
      </c>
      <c r="D387" s="42" t="s">
        <v>62</v>
      </c>
      <c r="E387" s="23">
        <v>1714</v>
      </c>
      <c r="F387" s="23">
        <v>207</v>
      </c>
      <c r="G387" s="23">
        <v>137</v>
      </c>
      <c r="H387" s="23">
        <v>132</v>
      </c>
      <c r="K387" s="23" t="s">
        <v>337</v>
      </c>
      <c r="M387" s="23">
        <v>3</v>
      </c>
      <c r="N387" s="42" t="s">
        <v>770</v>
      </c>
      <c r="O387" s="28"/>
      <c r="P387" s="42" t="s">
        <v>769</v>
      </c>
    </row>
    <row r="388" spans="1:17" x14ac:dyDescent="0.45">
      <c r="A388" s="23">
        <v>365</v>
      </c>
      <c r="B388" s="23" t="s">
        <v>768</v>
      </c>
      <c r="C388" s="39" t="s">
        <v>111</v>
      </c>
      <c r="D388" s="42" t="s">
        <v>62</v>
      </c>
      <c r="E388" s="23">
        <v>2726</v>
      </c>
      <c r="F388" s="23">
        <v>242</v>
      </c>
      <c r="G388" s="23">
        <v>182</v>
      </c>
      <c r="H388" s="23">
        <v>176</v>
      </c>
      <c r="M388" s="23">
        <v>3</v>
      </c>
      <c r="N388" s="42" t="s">
        <v>767</v>
      </c>
      <c r="O388" s="42"/>
      <c r="P388" s="35" t="s">
        <v>766</v>
      </c>
    </row>
    <row r="389" spans="1:17" x14ac:dyDescent="0.45">
      <c r="A389" s="23">
        <v>366</v>
      </c>
      <c r="B389" s="23" t="s">
        <v>765</v>
      </c>
      <c r="C389" s="39" t="s">
        <v>111</v>
      </c>
      <c r="D389" s="42"/>
      <c r="E389" s="23">
        <v>1270</v>
      </c>
      <c r="F389" s="23">
        <v>111</v>
      </c>
      <c r="G389" s="23">
        <v>133</v>
      </c>
      <c r="H389" s="23">
        <v>135</v>
      </c>
      <c r="I389" s="23" t="s">
        <v>337</v>
      </c>
      <c r="K389" s="23" t="s">
        <v>337</v>
      </c>
      <c r="L389" s="23">
        <v>5</v>
      </c>
      <c r="M389" s="23">
        <v>3</v>
      </c>
      <c r="N389" s="39" t="s">
        <v>121</v>
      </c>
      <c r="O389" s="42"/>
      <c r="P389" s="31" t="s">
        <v>764</v>
      </c>
    </row>
    <row r="390" spans="1:17" x14ac:dyDescent="0.45">
      <c r="A390" s="23">
        <v>367</v>
      </c>
      <c r="B390" s="23" t="s">
        <v>763</v>
      </c>
      <c r="C390" s="39" t="s">
        <v>111</v>
      </c>
      <c r="E390" s="23">
        <v>2340</v>
      </c>
      <c r="F390" s="23">
        <v>146</v>
      </c>
      <c r="G390" s="23">
        <v>197</v>
      </c>
      <c r="H390" s="23">
        <v>179</v>
      </c>
      <c r="I390" s="23" t="s">
        <v>337</v>
      </c>
      <c r="M390" s="23">
        <v>3</v>
      </c>
      <c r="N390" s="29" t="s">
        <v>409</v>
      </c>
      <c r="O390" s="39"/>
      <c r="P390" s="39" t="s">
        <v>762</v>
      </c>
    </row>
    <row r="391" spans="1:17" x14ac:dyDescent="0.45">
      <c r="A391" s="23">
        <v>368</v>
      </c>
      <c r="B391" s="23" t="s">
        <v>761</v>
      </c>
      <c r="C391" s="39" t="s">
        <v>111</v>
      </c>
      <c r="E391" s="23">
        <v>2494</v>
      </c>
      <c r="F391" s="23">
        <v>146</v>
      </c>
      <c r="G391" s="23">
        <v>211</v>
      </c>
      <c r="H391" s="23">
        <v>179</v>
      </c>
      <c r="I391" s="23" t="s">
        <v>337</v>
      </c>
      <c r="M391" s="23">
        <v>3</v>
      </c>
      <c r="N391" s="27" t="s">
        <v>760</v>
      </c>
      <c r="O391" s="29"/>
      <c r="P391" s="27" t="s">
        <v>759</v>
      </c>
    </row>
    <row r="392" spans="1:17" x14ac:dyDescent="0.45">
      <c r="A392" s="23">
        <v>369</v>
      </c>
      <c r="B392" s="23" t="s">
        <v>758</v>
      </c>
      <c r="C392" s="41" t="s">
        <v>43</v>
      </c>
      <c r="D392" s="39" t="s">
        <v>111</v>
      </c>
      <c r="E392" s="23">
        <v>2528</v>
      </c>
      <c r="F392" s="23">
        <v>225</v>
      </c>
      <c r="G392" s="23">
        <v>162</v>
      </c>
      <c r="H392" s="23">
        <v>203</v>
      </c>
      <c r="K392" s="23" t="s">
        <v>337</v>
      </c>
      <c r="L392" s="23">
        <v>5</v>
      </c>
      <c r="M392" s="23">
        <v>5</v>
      </c>
      <c r="N392" s="27" t="s">
        <v>757</v>
      </c>
      <c r="O392" s="27"/>
      <c r="P392" s="39" t="s">
        <v>756</v>
      </c>
    </row>
    <row r="393" spans="1:17" x14ac:dyDescent="0.45">
      <c r="A393" s="23">
        <v>370</v>
      </c>
      <c r="B393" s="23" t="s">
        <v>755</v>
      </c>
      <c r="C393" s="39" t="s">
        <v>111</v>
      </c>
      <c r="D393" s="39"/>
      <c r="E393" s="23">
        <v>848</v>
      </c>
      <c r="F393" s="23">
        <v>125</v>
      </c>
      <c r="G393" s="23">
        <v>81</v>
      </c>
      <c r="H393" s="23">
        <v>128</v>
      </c>
      <c r="I393" s="23" t="s">
        <v>337</v>
      </c>
      <c r="K393" s="23" t="s">
        <v>337</v>
      </c>
      <c r="L393" s="23">
        <v>2</v>
      </c>
      <c r="M393" s="23">
        <v>3</v>
      </c>
      <c r="N393" s="39" t="s">
        <v>754</v>
      </c>
      <c r="O393" s="27"/>
      <c r="P393" s="39" t="s">
        <v>753</v>
      </c>
    </row>
    <row r="394" spans="1:17" x14ac:dyDescent="0.45">
      <c r="A394" s="23">
        <v>371</v>
      </c>
      <c r="B394" s="23" t="s">
        <v>752</v>
      </c>
      <c r="C394" s="30" t="s">
        <v>90</v>
      </c>
      <c r="E394" s="23">
        <v>1156</v>
      </c>
      <c r="F394" s="23">
        <v>128</v>
      </c>
      <c r="G394" s="23">
        <v>134</v>
      </c>
      <c r="H394" s="23">
        <v>93</v>
      </c>
      <c r="I394" s="23" t="s">
        <v>337</v>
      </c>
      <c r="J394" s="23" t="s">
        <v>337</v>
      </c>
      <c r="K394" s="23" t="s">
        <v>337</v>
      </c>
      <c r="M394" s="23">
        <v>5</v>
      </c>
      <c r="N394" s="29" t="s">
        <v>751</v>
      </c>
      <c r="O394" s="39"/>
      <c r="P394" s="33" t="s">
        <v>3290</v>
      </c>
      <c r="Q394" s="31" t="s">
        <v>3338</v>
      </c>
    </row>
    <row r="395" spans="1:17" x14ac:dyDescent="0.45">
      <c r="A395" s="23">
        <v>372</v>
      </c>
      <c r="B395" s="23" t="s">
        <v>750</v>
      </c>
      <c r="C395" s="30" t="s">
        <v>90</v>
      </c>
      <c r="E395" s="23">
        <v>2031</v>
      </c>
      <c r="F395" s="23">
        <v>163</v>
      </c>
      <c r="G395" s="23">
        <v>172</v>
      </c>
      <c r="H395" s="23">
        <v>155</v>
      </c>
      <c r="I395" s="23" t="s">
        <v>337</v>
      </c>
      <c r="J395" s="23" t="s">
        <v>337</v>
      </c>
      <c r="K395" s="23" t="s">
        <v>337</v>
      </c>
      <c r="M395" s="23">
        <v>5</v>
      </c>
      <c r="N395" s="33" t="s">
        <v>749</v>
      </c>
      <c r="O395" s="29"/>
      <c r="P395" s="33" t="s">
        <v>3291</v>
      </c>
      <c r="Q395" s="31" t="s">
        <v>3338</v>
      </c>
    </row>
    <row r="396" spans="1:17" x14ac:dyDescent="0.45">
      <c r="A396" s="23">
        <v>373</v>
      </c>
      <c r="B396" s="23" t="s">
        <v>748</v>
      </c>
      <c r="C396" s="38" t="s">
        <v>72</v>
      </c>
      <c r="D396" s="30" t="s">
        <v>90</v>
      </c>
      <c r="E396" s="23">
        <v>3749</v>
      </c>
      <c r="F396" s="23">
        <v>216</v>
      </c>
      <c r="G396" s="23">
        <v>277</v>
      </c>
      <c r="H396" s="23">
        <v>168</v>
      </c>
      <c r="I396" s="23" t="s">
        <v>337</v>
      </c>
      <c r="J396" s="23" t="s">
        <v>337</v>
      </c>
      <c r="K396" s="23" t="s">
        <v>337</v>
      </c>
      <c r="M396" s="23">
        <v>5</v>
      </c>
      <c r="N396" s="29" t="s">
        <v>747</v>
      </c>
      <c r="O396" s="33"/>
      <c r="P396" s="33" t="s">
        <v>480</v>
      </c>
      <c r="Q396" s="31" t="s">
        <v>3381</v>
      </c>
    </row>
    <row r="397" spans="1:17" x14ac:dyDescent="0.45">
      <c r="A397" s="23">
        <v>374</v>
      </c>
      <c r="B397" s="23" t="s">
        <v>746</v>
      </c>
      <c r="C397" s="26" t="s">
        <v>4</v>
      </c>
      <c r="D397" s="27" t="s">
        <v>18</v>
      </c>
      <c r="E397" s="23">
        <v>976</v>
      </c>
      <c r="F397" s="23">
        <v>120</v>
      </c>
      <c r="G397" s="23">
        <v>96</v>
      </c>
      <c r="H397" s="23">
        <v>132</v>
      </c>
      <c r="I397" s="23" t="s">
        <v>337</v>
      </c>
      <c r="K397" s="23" t="s">
        <v>337</v>
      </c>
      <c r="M397" s="23">
        <v>5</v>
      </c>
      <c r="N397" s="31" t="s">
        <v>173</v>
      </c>
      <c r="O397" s="29"/>
      <c r="P397" s="31" t="s">
        <v>645</v>
      </c>
    </row>
    <row r="398" spans="1:17" x14ac:dyDescent="0.45">
      <c r="A398" s="23">
        <v>375</v>
      </c>
      <c r="B398" s="23" t="s">
        <v>745</v>
      </c>
      <c r="C398" s="26" t="s">
        <v>4</v>
      </c>
      <c r="D398" s="27" t="s">
        <v>18</v>
      </c>
      <c r="E398" s="23">
        <v>1721</v>
      </c>
      <c r="F398" s="23">
        <v>155</v>
      </c>
      <c r="G398" s="23">
        <v>138</v>
      </c>
      <c r="H398" s="23">
        <v>176</v>
      </c>
      <c r="I398" s="23" t="s">
        <v>337</v>
      </c>
      <c r="K398" s="23" t="s">
        <v>337</v>
      </c>
      <c r="M398" s="23">
        <v>5</v>
      </c>
      <c r="N398" s="27" t="s">
        <v>342</v>
      </c>
      <c r="O398" s="31"/>
      <c r="P398" s="27" t="s">
        <v>744</v>
      </c>
    </row>
    <row r="399" spans="1:17" x14ac:dyDescent="0.45">
      <c r="A399" s="23">
        <v>376</v>
      </c>
      <c r="B399" s="23" t="s">
        <v>298</v>
      </c>
      <c r="C399" s="26" t="s">
        <v>4</v>
      </c>
      <c r="D399" s="27" t="s">
        <v>18</v>
      </c>
      <c r="E399" s="23">
        <v>3791</v>
      </c>
      <c r="F399" s="23">
        <v>190</v>
      </c>
      <c r="G399" s="23">
        <v>257</v>
      </c>
      <c r="H399" s="23">
        <v>228</v>
      </c>
      <c r="I399" s="23" t="s">
        <v>337</v>
      </c>
      <c r="M399" s="23">
        <v>5</v>
      </c>
      <c r="N399" s="27" t="s">
        <v>743</v>
      </c>
      <c r="O399" s="27"/>
      <c r="P399" s="27" t="s">
        <v>742</v>
      </c>
      <c r="Q399" s="26" t="s">
        <v>1541</v>
      </c>
    </row>
    <row r="400" spans="1:17" x14ac:dyDescent="0.45">
      <c r="A400" s="23">
        <v>377</v>
      </c>
      <c r="B400" s="23" t="s">
        <v>741</v>
      </c>
      <c r="C400" s="41" t="s">
        <v>43</v>
      </c>
      <c r="D400" s="27"/>
      <c r="E400" s="23">
        <v>3122</v>
      </c>
      <c r="F400" s="23">
        <v>190</v>
      </c>
      <c r="G400" s="23">
        <v>179</v>
      </c>
      <c r="H400" s="23">
        <v>309</v>
      </c>
      <c r="I400" s="23" t="s">
        <v>337</v>
      </c>
      <c r="M400" s="23">
        <v>20</v>
      </c>
      <c r="N400" s="41" t="s">
        <v>740</v>
      </c>
      <c r="O400" s="27"/>
      <c r="P400" s="28" t="s">
        <v>739</v>
      </c>
    </row>
    <row r="401" spans="1:17" x14ac:dyDescent="0.45">
      <c r="A401" s="23">
        <v>378</v>
      </c>
      <c r="B401" s="23" t="s">
        <v>738</v>
      </c>
      <c r="C401" s="42" t="s">
        <v>62</v>
      </c>
      <c r="E401" s="23">
        <v>3122</v>
      </c>
      <c r="F401" s="23">
        <v>190</v>
      </c>
      <c r="G401" s="23">
        <v>179</v>
      </c>
      <c r="H401" s="23">
        <v>309</v>
      </c>
      <c r="I401" s="23" t="s">
        <v>337</v>
      </c>
      <c r="M401" s="23">
        <v>20</v>
      </c>
      <c r="N401" s="28" t="s">
        <v>737</v>
      </c>
      <c r="O401" s="41"/>
      <c r="P401" s="28" t="s">
        <v>736</v>
      </c>
    </row>
    <row r="402" spans="1:17" x14ac:dyDescent="0.45">
      <c r="A402" s="23">
        <v>379</v>
      </c>
      <c r="B402" s="23" t="s">
        <v>735</v>
      </c>
      <c r="C402" s="26" t="s">
        <v>4</v>
      </c>
      <c r="E402" s="23">
        <v>2447</v>
      </c>
      <c r="F402" s="23">
        <v>190</v>
      </c>
      <c r="G402" s="23">
        <v>143</v>
      </c>
      <c r="H402" s="23">
        <v>285</v>
      </c>
      <c r="I402" s="23" t="s">
        <v>337</v>
      </c>
      <c r="M402" s="23">
        <v>20</v>
      </c>
      <c r="N402" s="28" t="s">
        <v>734</v>
      </c>
      <c r="O402" s="28"/>
      <c r="P402" s="28" t="s">
        <v>733</v>
      </c>
    </row>
    <row r="403" spans="1:17" x14ac:dyDescent="0.45">
      <c r="A403" s="23">
        <v>380</v>
      </c>
      <c r="B403" s="23" t="s">
        <v>176</v>
      </c>
      <c r="C403" s="27" t="s">
        <v>18</v>
      </c>
      <c r="D403" s="30" t="s">
        <v>90</v>
      </c>
      <c r="E403" s="23">
        <v>3510</v>
      </c>
      <c r="F403" s="23">
        <v>190</v>
      </c>
      <c r="G403" s="23">
        <v>228</v>
      </c>
      <c r="H403" s="23">
        <v>246</v>
      </c>
      <c r="I403" s="23" t="s">
        <v>337</v>
      </c>
      <c r="M403" s="23">
        <v>20</v>
      </c>
      <c r="N403" s="40" t="s">
        <v>732</v>
      </c>
      <c r="O403" s="28"/>
      <c r="P403" s="25" t="s">
        <v>731</v>
      </c>
    </row>
    <row r="404" spans="1:17" x14ac:dyDescent="0.45">
      <c r="A404" s="23">
        <v>381</v>
      </c>
      <c r="B404" s="23" t="s">
        <v>305</v>
      </c>
      <c r="C404" s="27" t="s">
        <v>18</v>
      </c>
      <c r="D404" s="30" t="s">
        <v>90</v>
      </c>
      <c r="E404" s="23">
        <v>3812</v>
      </c>
      <c r="F404" s="23">
        <v>190</v>
      </c>
      <c r="G404" s="23">
        <v>268</v>
      </c>
      <c r="H404" s="23">
        <v>212</v>
      </c>
      <c r="I404" s="23" t="s">
        <v>337</v>
      </c>
      <c r="M404" s="23">
        <v>20</v>
      </c>
      <c r="N404" s="27" t="s">
        <v>730</v>
      </c>
      <c r="O404" s="40"/>
      <c r="P404" s="27" t="s">
        <v>729</v>
      </c>
    </row>
    <row r="405" spans="1:17" x14ac:dyDescent="0.45">
      <c r="A405" s="23">
        <v>382</v>
      </c>
      <c r="B405" s="23" t="s">
        <v>234</v>
      </c>
      <c r="C405" s="39" t="s">
        <v>111</v>
      </c>
      <c r="D405" s="30"/>
      <c r="E405" s="23">
        <v>4115</v>
      </c>
      <c r="F405" s="23">
        <v>205</v>
      </c>
      <c r="G405" s="23">
        <v>270</v>
      </c>
      <c r="H405" s="23">
        <v>228</v>
      </c>
      <c r="I405" s="23" t="s">
        <v>337</v>
      </c>
      <c r="M405" s="23">
        <v>20</v>
      </c>
      <c r="N405" s="39" t="s">
        <v>206</v>
      </c>
      <c r="O405" s="27"/>
      <c r="P405" s="25" t="s">
        <v>1762</v>
      </c>
    </row>
    <row r="406" spans="1:17" x14ac:dyDescent="0.45">
      <c r="A406" s="23">
        <v>383</v>
      </c>
      <c r="B406" s="23" t="s">
        <v>231</v>
      </c>
      <c r="C406" s="35" t="s">
        <v>3</v>
      </c>
      <c r="E406" s="23">
        <v>4115</v>
      </c>
      <c r="F406" s="23">
        <v>205</v>
      </c>
      <c r="G406" s="23">
        <v>270</v>
      </c>
      <c r="H406" s="23">
        <v>228</v>
      </c>
      <c r="I406" s="23" t="s">
        <v>337</v>
      </c>
      <c r="M406" s="23">
        <v>20</v>
      </c>
      <c r="N406" s="30" t="s">
        <v>560</v>
      </c>
      <c r="O406" s="39"/>
      <c r="P406" s="35" t="s">
        <v>728</v>
      </c>
    </row>
    <row r="407" spans="1:17" x14ac:dyDescent="0.45">
      <c r="A407" s="23">
        <v>384</v>
      </c>
      <c r="B407" s="23" t="s">
        <v>727</v>
      </c>
      <c r="C407" s="38" t="s">
        <v>72</v>
      </c>
      <c r="D407" s="30" t="s">
        <v>90</v>
      </c>
      <c r="E407" s="23">
        <v>3835</v>
      </c>
      <c r="F407" s="23">
        <v>213</v>
      </c>
      <c r="G407" s="23">
        <v>284</v>
      </c>
      <c r="H407" s="23">
        <v>170</v>
      </c>
      <c r="I407" s="23" t="s">
        <v>337</v>
      </c>
      <c r="M407" s="23">
        <v>20</v>
      </c>
      <c r="N407" s="38" t="s">
        <v>726</v>
      </c>
      <c r="O407" s="30"/>
      <c r="P407" s="30" t="s">
        <v>725</v>
      </c>
    </row>
    <row r="408" spans="1:17" x14ac:dyDescent="0.45">
      <c r="A408" s="23">
        <v>385</v>
      </c>
      <c r="B408" s="23" t="s">
        <v>724</v>
      </c>
      <c r="C408" s="26" t="s">
        <v>4</v>
      </c>
      <c r="D408" s="27" t="s">
        <v>18</v>
      </c>
      <c r="E408" s="23">
        <v>3265</v>
      </c>
      <c r="F408" s="23">
        <v>225</v>
      </c>
      <c r="G408" s="23">
        <v>210</v>
      </c>
      <c r="H408" s="23">
        <v>210</v>
      </c>
      <c r="M408" s="23">
        <v>20</v>
      </c>
      <c r="N408" s="25" t="s">
        <v>723</v>
      </c>
      <c r="O408" s="38"/>
      <c r="P408" s="27" t="s">
        <v>722</v>
      </c>
    </row>
    <row r="409" spans="1:17" x14ac:dyDescent="0.45">
      <c r="A409" s="23">
        <v>386</v>
      </c>
      <c r="B409" s="23" t="s">
        <v>718</v>
      </c>
      <c r="C409" s="27" t="s">
        <v>18</v>
      </c>
      <c r="D409" s="27"/>
      <c r="E409" s="23">
        <v>2580</v>
      </c>
      <c r="F409" s="23">
        <v>137</v>
      </c>
      <c r="G409" s="23">
        <v>414</v>
      </c>
      <c r="H409" s="23">
        <v>46</v>
      </c>
      <c r="M409" s="23">
        <v>20</v>
      </c>
      <c r="N409" s="27" t="s">
        <v>717</v>
      </c>
      <c r="O409" s="25"/>
      <c r="P409" s="29" t="s">
        <v>716</v>
      </c>
    </row>
    <row r="410" spans="1:17" x14ac:dyDescent="0.45">
      <c r="A410" s="23">
        <v>386</v>
      </c>
      <c r="B410" s="23" t="s">
        <v>715</v>
      </c>
      <c r="C410" s="27" t="s">
        <v>18</v>
      </c>
      <c r="E410" s="23">
        <v>2879</v>
      </c>
      <c r="F410" s="23">
        <v>137</v>
      </c>
      <c r="G410" s="23">
        <v>230</v>
      </c>
      <c r="H410" s="23">
        <v>218</v>
      </c>
      <c r="M410" s="23">
        <v>20</v>
      </c>
      <c r="N410" s="27" t="s">
        <v>712</v>
      </c>
      <c r="O410" s="27"/>
      <c r="P410" s="25" t="s">
        <v>714</v>
      </c>
    </row>
    <row r="411" spans="1:17" x14ac:dyDescent="0.45">
      <c r="A411" s="23">
        <v>386</v>
      </c>
      <c r="B411" s="23" t="s">
        <v>721</v>
      </c>
      <c r="C411" s="27" t="s">
        <v>18</v>
      </c>
      <c r="E411" s="23">
        <v>2274</v>
      </c>
      <c r="F411" s="23">
        <v>137</v>
      </c>
      <c r="G411" s="23">
        <v>144</v>
      </c>
      <c r="H411" s="23">
        <v>330</v>
      </c>
      <c r="M411" s="23">
        <v>20</v>
      </c>
      <c r="N411" s="28" t="s">
        <v>720</v>
      </c>
      <c r="O411" s="27"/>
      <c r="P411" s="25" t="s">
        <v>719</v>
      </c>
    </row>
    <row r="412" spans="1:17" x14ac:dyDescent="0.45">
      <c r="A412" s="23">
        <v>386</v>
      </c>
      <c r="B412" s="23" t="s">
        <v>713</v>
      </c>
      <c r="C412" s="27" t="s">
        <v>18</v>
      </c>
      <c r="E412" s="23">
        <v>3160</v>
      </c>
      <c r="F412" s="23">
        <v>137</v>
      </c>
      <c r="G412" s="23">
        <v>345</v>
      </c>
      <c r="H412" s="23">
        <v>115</v>
      </c>
      <c r="M412" s="23">
        <v>20</v>
      </c>
      <c r="N412" s="27" t="s">
        <v>712</v>
      </c>
      <c r="O412" s="28"/>
      <c r="P412" s="25" t="s">
        <v>711</v>
      </c>
    </row>
    <row r="413" spans="1:17" x14ac:dyDescent="0.45">
      <c r="A413" s="23">
        <v>387</v>
      </c>
      <c r="B413" s="23" t="s">
        <v>710</v>
      </c>
      <c r="C413" s="36" t="s">
        <v>12</v>
      </c>
      <c r="E413" s="23">
        <v>1187</v>
      </c>
      <c r="F413" s="23">
        <v>146</v>
      </c>
      <c r="G413" s="23">
        <v>119</v>
      </c>
      <c r="H413" s="23">
        <v>110</v>
      </c>
      <c r="I413" s="23" t="s">
        <v>337</v>
      </c>
      <c r="J413" s="23" t="s">
        <v>337</v>
      </c>
      <c r="K413" s="23" t="s">
        <v>337</v>
      </c>
      <c r="L413" s="23">
        <v>2</v>
      </c>
      <c r="M413" s="23">
        <v>3</v>
      </c>
      <c r="N413" s="31" t="s">
        <v>709</v>
      </c>
      <c r="O413" s="27"/>
      <c r="P413" s="36" t="s">
        <v>3292</v>
      </c>
      <c r="Q413" s="31" t="s">
        <v>3338</v>
      </c>
    </row>
    <row r="414" spans="1:17" x14ac:dyDescent="0.45">
      <c r="A414" s="23">
        <v>388</v>
      </c>
      <c r="B414" s="23" t="s">
        <v>708</v>
      </c>
      <c r="C414" s="36" t="s">
        <v>12</v>
      </c>
      <c r="E414" s="23">
        <v>1890</v>
      </c>
      <c r="F414" s="23">
        <v>181</v>
      </c>
      <c r="G414" s="23">
        <v>157</v>
      </c>
      <c r="H414" s="23">
        <v>143</v>
      </c>
      <c r="I414" s="23" t="s">
        <v>337</v>
      </c>
      <c r="J414" s="23" t="s">
        <v>337</v>
      </c>
      <c r="K414" s="23" t="s">
        <v>337</v>
      </c>
      <c r="M414" s="23">
        <v>3</v>
      </c>
      <c r="N414" s="29" t="s">
        <v>707</v>
      </c>
      <c r="O414" s="31"/>
      <c r="P414" s="36" t="s">
        <v>3293</v>
      </c>
      <c r="Q414" s="31" t="s">
        <v>3338</v>
      </c>
    </row>
    <row r="415" spans="1:17" x14ac:dyDescent="0.45">
      <c r="A415" s="23">
        <v>389</v>
      </c>
      <c r="B415" s="23" t="s">
        <v>200</v>
      </c>
      <c r="C415" s="35" t="s">
        <v>3</v>
      </c>
      <c r="D415" s="36" t="s">
        <v>12</v>
      </c>
      <c r="E415" s="23">
        <v>2934</v>
      </c>
      <c r="F415" s="23">
        <v>216</v>
      </c>
      <c r="G415" s="23">
        <v>202</v>
      </c>
      <c r="H415" s="23">
        <v>188</v>
      </c>
      <c r="I415" s="23" t="s">
        <v>337</v>
      </c>
      <c r="J415" s="23" t="s">
        <v>337</v>
      </c>
      <c r="M415" s="23">
        <v>3</v>
      </c>
      <c r="N415" s="29" t="s">
        <v>707</v>
      </c>
      <c r="O415" s="29"/>
      <c r="P415" s="35" t="s">
        <v>3294</v>
      </c>
      <c r="Q415" s="31" t="s">
        <v>3339</v>
      </c>
    </row>
    <row r="416" spans="1:17" x14ac:dyDescent="0.45">
      <c r="A416" s="23">
        <v>390</v>
      </c>
      <c r="B416" s="23" t="s">
        <v>706</v>
      </c>
      <c r="C416" s="33" t="s">
        <v>22</v>
      </c>
      <c r="D416" s="36"/>
      <c r="E416" s="23">
        <v>957</v>
      </c>
      <c r="F416" s="23">
        <v>127</v>
      </c>
      <c r="G416" s="23">
        <v>113</v>
      </c>
      <c r="H416" s="23">
        <v>86</v>
      </c>
      <c r="I416" s="23" t="s">
        <v>337</v>
      </c>
      <c r="K416" s="23" t="s">
        <v>337</v>
      </c>
      <c r="L416" s="23">
        <v>2</v>
      </c>
      <c r="M416" s="23">
        <v>3</v>
      </c>
      <c r="N416" s="31" t="s">
        <v>705</v>
      </c>
      <c r="O416" s="29"/>
      <c r="P416" s="33" t="s">
        <v>704</v>
      </c>
    </row>
    <row r="417" spans="1:17" x14ac:dyDescent="0.45">
      <c r="A417" s="23">
        <v>391</v>
      </c>
      <c r="B417" s="23" t="s">
        <v>703</v>
      </c>
      <c r="C417" s="28" t="s">
        <v>47</v>
      </c>
      <c r="D417" s="33" t="s">
        <v>22</v>
      </c>
      <c r="E417" s="23">
        <v>1574</v>
      </c>
      <c r="F417" s="23">
        <v>162</v>
      </c>
      <c r="G417" s="23">
        <v>158</v>
      </c>
      <c r="H417" s="23">
        <v>105</v>
      </c>
      <c r="I417" s="23" t="s">
        <v>337</v>
      </c>
      <c r="K417" s="23" t="s">
        <v>337</v>
      </c>
      <c r="M417" s="23">
        <v>3</v>
      </c>
      <c r="N417" s="28" t="s">
        <v>702</v>
      </c>
      <c r="O417" s="31"/>
      <c r="P417" s="33" t="s">
        <v>701</v>
      </c>
    </row>
    <row r="418" spans="1:17" x14ac:dyDescent="0.45">
      <c r="A418" s="23">
        <v>392</v>
      </c>
      <c r="B418" s="23" t="s">
        <v>217</v>
      </c>
      <c r="C418" s="28" t="s">
        <v>47</v>
      </c>
      <c r="D418" s="33" t="s">
        <v>22</v>
      </c>
      <c r="E418" s="23">
        <v>2683</v>
      </c>
      <c r="F418" s="23">
        <v>183</v>
      </c>
      <c r="G418" s="23">
        <v>222</v>
      </c>
      <c r="H418" s="23">
        <v>151</v>
      </c>
      <c r="I418" s="23" t="s">
        <v>337</v>
      </c>
      <c r="M418" s="23">
        <v>3</v>
      </c>
      <c r="N418" s="28" t="s">
        <v>700</v>
      </c>
      <c r="O418" s="28"/>
      <c r="P418" s="28" t="s">
        <v>3295</v>
      </c>
      <c r="Q418" s="33" t="s">
        <v>1563</v>
      </c>
    </row>
    <row r="419" spans="1:17" x14ac:dyDescent="0.45">
      <c r="A419" s="23">
        <v>393</v>
      </c>
      <c r="B419" s="23" t="s">
        <v>699</v>
      </c>
      <c r="C419" s="39" t="s">
        <v>111</v>
      </c>
      <c r="D419" s="33"/>
      <c r="E419" s="23">
        <v>1075</v>
      </c>
      <c r="F419" s="23">
        <v>142</v>
      </c>
      <c r="G419" s="23">
        <v>112</v>
      </c>
      <c r="H419" s="23">
        <v>102</v>
      </c>
      <c r="I419" s="23" t="s">
        <v>337</v>
      </c>
      <c r="K419" s="23" t="s">
        <v>337</v>
      </c>
      <c r="L419" s="23">
        <v>2</v>
      </c>
      <c r="M419" s="23">
        <v>3</v>
      </c>
      <c r="N419" s="39" t="s">
        <v>698</v>
      </c>
      <c r="O419" s="28"/>
      <c r="P419" s="42" t="s">
        <v>697</v>
      </c>
    </row>
    <row r="420" spans="1:17" x14ac:dyDescent="0.45">
      <c r="A420" s="23">
        <v>394</v>
      </c>
      <c r="B420" s="23" t="s">
        <v>696</v>
      </c>
      <c r="C420" s="39" t="s">
        <v>111</v>
      </c>
      <c r="E420" s="23">
        <v>1701</v>
      </c>
      <c r="F420" s="23">
        <v>162</v>
      </c>
      <c r="G420" s="23">
        <v>150</v>
      </c>
      <c r="H420" s="23">
        <v>139</v>
      </c>
      <c r="I420" s="23" t="s">
        <v>337</v>
      </c>
      <c r="K420" s="23" t="s">
        <v>337</v>
      </c>
      <c r="M420" s="23">
        <v>3</v>
      </c>
      <c r="N420" s="39" t="s">
        <v>695</v>
      </c>
      <c r="O420" s="39"/>
      <c r="P420" s="42" t="s">
        <v>694</v>
      </c>
    </row>
    <row r="421" spans="1:17" x14ac:dyDescent="0.45">
      <c r="A421" s="23">
        <v>395</v>
      </c>
      <c r="B421" s="23" t="s">
        <v>693</v>
      </c>
      <c r="C421" s="26" t="s">
        <v>4</v>
      </c>
      <c r="D421" s="39" t="s">
        <v>111</v>
      </c>
      <c r="E421" s="23">
        <v>2900</v>
      </c>
      <c r="F421" s="23">
        <v>197</v>
      </c>
      <c r="G421" s="23">
        <v>210</v>
      </c>
      <c r="H421" s="23">
        <v>186</v>
      </c>
      <c r="I421" s="23" t="s">
        <v>337</v>
      </c>
      <c r="M421" s="23">
        <v>3</v>
      </c>
      <c r="N421" s="39" t="s">
        <v>692</v>
      </c>
      <c r="O421" s="39"/>
      <c r="P421" s="39" t="s">
        <v>691</v>
      </c>
      <c r="Q421" s="39" t="s">
        <v>1564</v>
      </c>
    </row>
    <row r="422" spans="1:17" x14ac:dyDescent="0.45">
      <c r="A422" s="23">
        <v>396</v>
      </c>
      <c r="B422" s="23" t="s">
        <v>690</v>
      </c>
      <c r="C422" s="31" t="s">
        <v>68</v>
      </c>
      <c r="D422" s="38" t="s">
        <v>72</v>
      </c>
      <c r="E422" s="23">
        <v>719</v>
      </c>
      <c r="F422" s="23">
        <v>120</v>
      </c>
      <c r="G422" s="23">
        <v>101</v>
      </c>
      <c r="H422" s="23">
        <v>58</v>
      </c>
      <c r="K422" s="23" t="s">
        <v>337</v>
      </c>
      <c r="M422" s="23">
        <v>1</v>
      </c>
      <c r="N422" s="31" t="s">
        <v>689</v>
      </c>
      <c r="O422" s="39"/>
      <c r="P422" s="38" t="s">
        <v>688</v>
      </c>
    </row>
    <row r="423" spans="1:17" x14ac:dyDescent="0.45">
      <c r="A423" s="23">
        <v>397</v>
      </c>
      <c r="B423" s="23" t="s">
        <v>687</v>
      </c>
      <c r="C423" s="31" t="s">
        <v>68</v>
      </c>
      <c r="D423" s="38" t="s">
        <v>72</v>
      </c>
      <c r="E423" s="23">
        <v>1299</v>
      </c>
      <c r="F423" s="23">
        <v>146</v>
      </c>
      <c r="G423" s="23">
        <v>142</v>
      </c>
      <c r="H423" s="23">
        <v>94</v>
      </c>
      <c r="K423" s="23" t="s">
        <v>337</v>
      </c>
      <c r="M423" s="23">
        <v>1</v>
      </c>
      <c r="N423" s="38" t="s">
        <v>684</v>
      </c>
      <c r="O423" s="31"/>
      <c r="P423" s="38" t="s">
        <v>686</v>
      </c>
    </row>
    <row r="424" spans="1:17" x14ac:dyDescent="0.45">
      <c r="A424" s="23">
        <v>398</v>
      </c>
      <c r="B424" s="23" t="s">
        <v>685</v>
      </c>
      <c r="C424" s="31" t="s">
        <v>68</v>
      </c>
      <c r="D424" s="38" t="s">
        <v>72</v>
      </c>
      <c r="E424" s="23">
        <v>2825</v>
      </c>
      <c r="F424" s="23">
        <v>198</v>
      </c>
      <c r="G424" s="23">
        <v>234</v>
      </c>
      <c r="H424" s="23">
        <v>140</v>
      </c>
      <c r="K424" s="23" t="s">
        <v>337</v>
      </c>
      <c r="M424" s="23">
        <v>1</v>
      </c>
      <c r="N424" s="38" t="s">
        <v>684</v>
      </c>
      <c r="O424" s="38"/>
      <c r="P424" s="28" t="s">
        <v>683</v>
      </c>
    </row>
    <row r="425" spans="1:17" x14ac:dyDescent="0.45">
      <c r="A425" s="23">
        <v>399</v>
      </c>
      <c r="B425" s="23" t="s">
        <v>682</v>
      </c>
      <c r="C425" s="31" t="s">
        <v>68</v>
      </c>
      <c r="D425" s="38"/>
      <c r="E425" s="23">
        <v>721</v>
      </c>
      <c r="F425" s="23">
        <v>153</v>
      </c>
      <c r="G425" s="23">
        <v>80</v>
      </c>
      <c r="H425" s="23">
        <v>73</v>
      </c>
      <c r="K425" s="23" t="s">
        <v>337</v>
      </c>
      <c r="M425" s="23">
        <v>1</v>
      </c>
      <c r="N425" s="31" t="s">
        <v>436</v>
      </c>
      <c r="O425" s="38"/>
      <c r="P425" s="29" t="s">
        <v>438</v>
      </c>
    </row>
    <row r="426" spans="1:17" x14ac:dyDescent="0.45">
      <c r="A426" s="23">
        <v>400</v>
      </c>
      <c r="B426" s="23" t="s">
        <v>681</v>
      </c>
      <c r="C426" s="31" t="s">
        <v>68</v>
      </c>
      <c r="D426" s="39" t="s">
        <v>111</v>
      </c>
      <c r="E426" s="23">
        <v>1823</v>
      </c>
      <c r="F426" s="23">
        <v>188</v>
      </c>
      <c r="G426" s="23">
        <v>162</v>
      </c>
      <c r="H426" s="23">
        <v>119</v>
      </c>
      <c r="K426" s="23" t="s">
        <v>337</v>
      </c>
      <c r="M426" s="23">
        <v>1</v>
      </c>
      <c r="N426" s="31" t="s">
        <v>680</v>
      </c>
      <c r="O426" s="31"/>
      <c r="P426" s="39" t="s">
        <v>679</v>
      </c>
    </row>
    <row r="427" spans="1:17" x14ac:dyDescent="0.45">
      <c r="A427" s="23">
        <v>401</v>
      </c>
      <c r="B427" s="23" t="s">
        <v>678</v>
      </c>
      <c r="C427" s="32" t="s">
        <v>29</v>
      </c>
      <c r="D427" s="39"/>
      <c r="E427" s="23">
        <v>401</v>
      </c>
      <c r="F427" s="23">
        <v>114</v>
      </c>
      <c r="G427" s="23">
        <v>45</v>
      </c>
      <c r="H427" s="23">
        <v>74</v>
      </c>
      <c r="K427" s="23" t="s">
        <v>337</v>
      </c>
      <c r="M427" s="23">
        <v>1</v>
      </c>
      <c r="N427" s="32" t="s">
        <v>677</v>
      </c>
      <c r="O427" s="31"/>
      <c r="P427" s="31" t="s">
        <v>645</v>
      </c>
    </row>
    <row r="428" spans="1:17" x14ac:dyDescent="0.45">
      <c r="A428" s="23">
        <v>402</v>
      </c>
      <c r="B428" s="23" t="s">
        <v>676</v>
      </c>
      <c r="C428" s="32" t="s">
        <v>29</v>
      </c>
      <c r="E428" s="23">
        <v>1653</v>
      </c>
      <c r="F428" s="23">
        <v>184</v>
      </c>
      <c r="G428" s="23">
        <v>160</v>
      </c>
      <c r="H428" s="23">
        <v>100</v>
      </c>
      <c r="K428" s="23" t="s">
        <v>337</v>
      </c>
      <c r="M428" s="23">
        <v>1</v>
      </c>
      <c r="N428" s="32" t="s">
        <v>675</v>
      </c>
      <c r="O428" s="32"/>
      <c r="P428" s="32" t="s">
        <v>674</v>
      </c>
    </row>
    <row r="429" spans="1:17" x14ac:dyDescent="0.45">
      <c r="A429" s="23">
        <v>403</v>
      </c>
      <c r="B429" s="23" t="s">
        <v>673</v>
      </c>
      <c r="C429" s="25" t="s">
        <v>8</v>
      </c>
      <c r="E429" s="23">
        <v>876</v>
      </c>
      <c r="F429" s="23">
        <v>128</v>
      </c>
      <c r="G429" s="23">
        <v>117</v>
      </c>
      <c r="H429" s="23">
        <v>64</v>
      </c>
      <c r="I429" s="23" t="s">
        <v>337</v>
      </c>
      <c r="L429" s="23">
        <v>10</v>
      </c>
      <c r="M429" s="23">
        <v>5</v>
      </c>
      <c r="N429" s="25" t="s">
        <v>672</v>
      </c>
      <c r="O429" s="32"/>
      <c r="P429" s="25" t="s">
        <v>671</v>
      </c>
    </row>
    <row r="430" spans="1:17" x14ac:dyDescent="0.45">
      <c r="A430" s="23">
        <v>404</v>
      </c>
      <c r="B430" s="23" t="s">
        <v>670</v>
      </c>
      <c r="C430" s="25" t="s">
        <v>8</v>
      </c>
      <c r="E430" s="23">
        <v>1486</v>
      </c>
      <c r="F430" s="23">
        <v>155</v>
      </c>
      <c r="G430" s="23">
        <v>159</v>
      </c>
      <c r="H430" s="23">
        <v>95</v>
      </c>
      <c r="I430" s="23" t="s">
        <v>337</v>
      </c>
      <c r="M430" s="23">
        <v>5</v>
      </c>
      <c r="N430" s="29" t="s">
        <v>669</v>
      </c>
      <c r="O430" s="25"/>
      <c r="P430" s="25" t="s">
        <v>668</v>
      </c>
    </row>
    <row r="431" spans="1:17" x14ac:dyDescent="0.45">
      <c r="A431" s="23">
        <v>405</v>
      </c>
      <c r="B431" s="23" t="s">
        <v>135</v>
      </c>
      <c r="C431" s="25" t="s">
        <v>8</v>
      </c>
      <c r="E431" s="23">
        <v>2888</v>
      </c>
      <c r="F431" s="23">
        <v>190</v>
      </c>
      <c r="G431" s="23">
        <v>232</v>
      </c>
      <c r="H431" s="23">
        <v>156</v>
      </c>
      <c r="I431" s="23" t="s">
        <v>337</v>
      </c>
      <c r="M431" s="23">
        <v>5</v>
      </c>
      <c r="N431" s="25" t="s">
        <v>667</v>
      </c>
      <c r="O431" s="29"/>
      <c r="P431" s="29" t="s">
        <v>666</v>
      </c>
    </row>
    <row r="432" spans="1:17" x14ac:dyDescent="0.45">
      <c r="A432" s="23">
        <v>406</v>
      </c>
      <c r="B432" s="23" t="s">
        <v>665</v>
      </c>
      <c r="C432" s="37" t="s">
        <v>32</v>
      </c>
      <c r="D432" s="36" t="s">
        <v>12</v>
      </c>
      <c r="E432" s="23">
        <v>856</v>
      </c>
      <c r="F432" s="23">
        <v>120</v>
      </c>
      <c r="G432" s="23">
        <v>91</v>
      </c>
      <c r="H432" s="23">
        <v>109</v>
      </c>
      <c r="I432" s="23" t="s">
        <v>337</v>
      </c>
      <c r="M432" s="23">
        <v>3</v>
      </c>
      <c r="N432" s="36" t="s">
        <v>664</v>
      </c>
      <c r="O432" s="25"/>
      <c r="P432" s="36" t="s">
        <v>663</v>
      </c>
    </row>
    <row r="433" spans="1:16" x14ac:dyDescent="0.45">
      <c r="A433" s="23">
        <v>407</v>
      </c>
      <c r="B433" s="23" t="s">
        <v>261</v>
      </c>
      <c r="C433" s="37" t="s">
        <v>32</v>
      </c>
      <c r="D433" s="36" t="s">
        <v>12</v>
      </c>
      <c r="E433" s="23">
        <v>2971</v>
      </c>
      <c r="F433" s="23">
        <v>155</v>
      </c>
      <c r="G433" s="23">
        <v>243</v>
      </c>
      <c r="H433" s="23">
        <v>185</v>
      </c>
      <c r="I433" s="23" t="s">
        <v>337</v>
      </c>
      <c r="M433" s="23">
        <v>3</v>
      </c>
      <c r="N433" s="37" t="s">
        <v>662</v>
      </c>
      <c r="O433" s="36"/>
      <c r="P433" s="36" t="s">
        <v>661</v>
      </c>
    </row>
    <row r="434" spans="1:16" x14ac:dyDescent="0.45">
      <c r="A434" s="23">
        <v>408</v>
      </c>
      <c r="B434" s="23" t="s">
        <v>660</v>
      </c>
      <c r="C434" s="41" t="s">
        <v>43</v>
      </c>
      <c r="D434" s="36"/>
      <c r="E434" s="23">
        <v>1820</v>
      </c>
      <c r="F434" s="23">
        <v>167</v>
      </c>
      <c r="G434" s="23">
        <v>218</v>
      </c>
      <c r="H434" s="23">
        <v>71</v>
      </c>
      <c r="K434" s="23" t="s">
        <v>337</v>
      </c>
      <c r="L434" s="23">
        <v>10</v>
      </c>
      <c r="M434" s="23">
        <v>5</v>
      </c>
      <c r="N434" s="27" t="s">
        <v>659</v>
      </c>
      <c r="O434" s="37"/>
      <c r="P434" s="41" t="s">
        <v>658</v>
      </c>
    </row>
    <row r="435" spans="1:16" x14ac:dyDescent="0.45">
      <c r="A435" s="23">
        <v>409</v>
      </c>
      <c r="B435" s="23" t="s">
        <v>250</v>
      </c>
      <c r="C435" s="41" t="s">
        <v>43</v>
      </c>
      <c r="E435" s="23">
        <v>3298</v>
      </c>
      <c r="F435" s="23">
        <v>219</v>
      </c>
      <c r="G435" s="23">
        <v>295</v>
      </c>
      <c r="H435" s="23">
        <v>109</v>
      </c>
      <c r="M435" s="23">
        <v>5</v>
      </c>
      <c r="N435" s="41" t="s">
        <v>657</v>
      </c>
      <c r="O435" s="27"/>
      <c r="P435" s="41" t="s">
        <v>656</v>
      </c>
    </row>
    <row r="436" spans="1:16" x14ac:dyDescent="0.45">
      <c r="A436" s="23">
        <v>410</v>
      </c>
      <c r="B436" s="23" t="s">
        <v>655</v>
      </c>
      <c r="C436" s="41" t="s">
        <v>43</v>
      </c>
      <c r="D436" s="26" t="s">
        <v>4</v>
      </c>
      <c r="E436" s="23">
        <v>890</v>
      </c>
      <c r="F436" s="23">
        <v>102</v>
      </c>
      <c r="G436" s="23">
        <v>76</v>
      </c>
      <c r="H436" s="23">
        <v>195</v>
      </c>
      <c r="K436" s="23" t="s">
        <v>337</v>
      </c>
      <c r="L436" s="23">
        <v>10</v>
      </c>
      <c r="M436" s="23">
        <v>5</v>
      </c>
      <c r="N436" s="26" t="s">
        <v>654</v>
      </c>
      <c r="O436" s="41"/>
      <c r="P436" s="41" t="s">
        <v>653</v>
      </c>
    </row>
    <row r="437" spans="1:16" x14ac:dyDescent="0.45">
      <c r="A437" s="23">
        <v>411</v>
      </c>
      <c r="B437" s="23" t="s">
        <v>652</v>
      </c>
      <c r="C437" s="41" t="s">
        <v>43</v>
      </c>
      <c r="D437" s="26" t="s">
        <v>4</v>
      </c>
      <c r="E437" s="23">
        <v>1539</v>
      </c>
      <c r="F437" s="23">
        <v>155</v>
      </c>
      <c r="G437" s="23">
        <v>94</v>
      </c>
      <c r="H437" s="23">
        <v>286</v>
      </c>
      <c r="M437" s="23">
        <v>5</v>
      </c>
      <c r="N437" s="26" t="s">
        <v>651</v>
      </c>
      <c r="O437" s="26"/>
      <c r="P437" s="33" t="s">
        <v>650</v>
      </c>
    </row>
    <row r="438" spans="1:16" x14ac:dyDescent="0.45">
      <c r="A438" s="23">
        <v>412</v>
      </c>
      <c r="B438" s="23" t="s">
        <v>649</v>
      </c>
      <c r="C438" s="32" t="s">
        <v>29</v>
      </c>
      <c r="D438" s="26"/>
      <c r="E438" s="23">
        <v>488</v>
      </c>
      <c r="F438" s="23">
        <v>120</v>
      </c>
      <c r="G438" s="23">
        <v>53</v>
      </c>
      <c r="H438" s="23">
        <v>83</v>
      </c>
      <c r="I438" s="23" t="s">
        <v>337</v>
      </c>
      <c r="K438" s="23" t="s">
        <v>337</v>
      </c>
      <c r="L438" s="23">
        <v>5</v>
      </c>
      <c r="M438" s="23">
        <v>1</v>
      </c>
      <c r="N438" s="31" t="s">
        <v>646</v>
      </c>
      <c r="O438" s="26"/>
      <c r="P438" s="31" t="s">
        <v>645</v>
      </c>
    </row>
    <row r="439" spans="1:16" x14ac:dyDescent="0.45">
      <c r="A439" s="23">
        <v>412</v>
      </c>
      <c r="B439" s="23" t="s">
        <v>648</v>
      </c>
      <c r="C439" s="32" t="s">
        <v>29</v>
      </c>
      <c r="E439" s="23">
        <v>488</v>
      </c>
      <c r="F439" s="23">
        <v>120</v>
      </c>
      <c r="G439" s="23">
        <v>53</v>
      </c>
      <c r="H439" s="23">
        <v>83</v>
      </c>
      <c r="I439" s="23" t="s">
        <v>337</v>
      </c>
      <c r="K439" s="23" t="s">
        <v>337</v>
      </c>
      <c r="L439" s="23">
        <v>5</v>
      </c>
      <c r="M439" s="23">
        <v>1</v>
      </c>
      <c r="N439" s="31" t="s">
        <v>646</v>
      </c>
      <c r="O439" s="31"/>
      <c r="P439" s="31" t="s">
        <v>645</v>
      </c>
    </row>
    <row r="440" spans="1:16" x14ac:dyDescent="0.45">
      <c r="A440" s="23">
        <v>412</v>
      </c>
      <c r="B440" s="23" t="s">
        <v>647</v>
      </c>
      <c r="C440" s="32" t="s">
        <v>29</v>
      </c>
      <c r="E440" s="23">
        <v>488</v>
      </c>
      <c r="F440" s="23">
        <v>120</v>
      </c>
      <c r="G440" s="23">
        <v>53</v>
      </c>
      <c r="H440" s="23">
        <v>83</v>
      </c>
      <c r="I440" s="23" t="s">
        <v>337</v>
      </c>
      <c r="K440" s="23" t="s">
        <v>337</v>
      </c>
      <c r="L440" s="23">
        <v>5</v>
      </c>
      <c r="M440" s="23">
        <v>1</v>
      </c>
      <c r="N440" s="31" t="s">
        <v>646</v>
      </c>
      <c r="O440" s="31"/>
      <c r="P440" s="31" t="s">
        <v>645</v>
      </c>
    </row>
    <row r="441" spans="1:16" x14ac:dyDescent="0.45">
      <c r="A441" s="23">
        <v>413</v>
      </c>
      <c r="B441" s="23" t="s">
        <v>640</v>
      </c>
      <c r="C441" s="32" t="s">
        <v>29</v>
      </c>
      <c r="D441" s="36" t="s">
        <v>12</v>
      </c>
      <c r="E441" s="23">
        <v>1773</v>
      </c>
      <c r="F441" s="23">
        <v>155</v>
      </c>
      <c r="G441" s="23">
        <v>141</v>
      </c>
      <c r="H441" s="23">
        <v>180</v>
      </c>
      <c r="I441" s="23" t="s">
        <v>337</v>
      </c>
      <c r="M441" s="23">
        <v>1</v>
      </c>
      <c r="N441" s="27" t="s">
        <v>639</v>
      </c>
      <c r="O441" s="31"/>
      <c r="P441" s="36" t="s">
        <v>638</v>
      </c>
    </row>
    <row r="442" spans="1:16" x14ac:dyDescent="0.45">
      <c r="A442" s="23">
        <v>413</v>
      </c>
      <c r="B442" s="23" t="s">
        <v>644</v>
      </c>
      <c r="C442" s="32" t="s">
        <v>29</v>
      </c>
      <c r="D442" s="26" t="s">
        <v>4</v>
      </c>
      <c r="E442" s="23">
        <v>1593</v>
      </c>
      <c r="F442" s="23">
        <v>155</v>
      </c>
      <c r="G442" s="23">
        <v>127</v>
      </c>
      <c r="H442" s="23">
        <v>175</v>
      </c>
      <c r="I442" s="23" t="s">
        <v>337</v>
      </c>
      <c r="M442" s="23">
        <v>1</v>
      </c>
      <c r="N442" s="27" t="s">
        <v>639</v>
      </c>
      <c r="O442" s="27"/>
      <c r="P442" s="26" t="s">
        <v>643</v>
      </c>
    </row>
    <row r="443" spans="1:16" x14ac:dyDescent="0.45">
      <c r="A443" s="23">
        <v>413</v>
      </c>
      <c r="B443" s="23" t="s">
        <v>642</v>
      </c>
      <c r="C443" s="35" t="s">
        <v>3</v>
      </c>
      <c r="D443" s="32" t="s">
        <v>29</v>
      </c>
      <c r="E443" s="23">
        <v>1773</v>
      </c>
      <c r="F443" s="23">
        <v>155</v>
      </c>
      <c r="G443" s="23">
        <v>141</v>
      </c>
      <c r="H443" s="23">
        <v>180</v>
      </c>
      <c r="I443" s="23" t="s">
        <v>337</v>
      </c>
      <c r="M443" s="23">
        <v>1</v>
      </c>
      <c r="N443" s="27" t="s">
        <v>639</v>
      </c>
      <c r="O443" s="27"/>
      <c r="P443" s="27" t="s">
        <v>641</v>
      </c>
    </row>
    <row r="444" spans="1:16" x14ac:dyDescent="0.45">
      <c r="A444" s="23">
        <v>414</v>
      </c>
      <c r="B444" s="23" t="s">
        <v>637</v>
      </c>
      <c r="C444" s="38" t="s">
        <v>72</v>
      </c>
      <c r="D444" s="32" t="s">
        <v>29</v>
      </c>
      <c r="E444" s="23">
        <v>1815</v>
      </c>
      <c r="F444" s="23">
        <v>172</v>
      </c>
      <c r="G444" s="23">
        <v>185</v>
      </c>
      <c r="H444" s="23">
        <v>98</v>
      </c>
      <c r="I444" s="23" t="s">
        <v>337</v>
      </c>
      <c r="M444" s="23">
        <v>1</v>
      </c>
      <c r="N444" s="38" t="s">
        <v>636</v>
      </c>
      <c r="O444" s="27"/>
      <c r="P444" s="27" t="s">
        <v>635</v>
      </c>
    </row>
    <row r="445" spans="1:16" x14ac:dyDescent="0.45">
      <c r="A445" s="23">
        <v>415</v>
      </c>
      <c r="B445" s="23" t="s">
        <v>634</v>
      </c>
      <c r="C445" s="38" t="s">
        <v>72</v>
      </c>
      <c r="D445" s="32" t="s">
        <v>29</v>
      </c>
      <c r="E445" s="23">
        <v>494</v>
      </c>
      <c r="F445" s="23">
        <v>102</v>
      </c>
      <c r="G445" s="23">
        <v>59</v>
      </c>
      <c r="H445" s="23">
        <v>83</v>
      </c>
      <c r="K445" s="23" t="s">
        <v>337</v>
      </c>
      <c r="M445" s="23">
        <v>3</v>
      </c>
      <c r="N445" s="32" t="s">
        <v>38</v>
      </c>
      <c r="O445" s="38"/>
      <c r="P445" s="32" t="s">
        <v>126</v>
      </c>
    </row>
    <row r="446" spans="1:16" x14ac:dyDescent="0.45">
      <c r="A446" s="23">
        <v>416</v>
      </c>
      <c r="B446" s="23" t="s">
        <v>633</v>
      </c>
      <c r="C446" s="38" t="s">
        <v>72</v>
      </c>
      <c r="D446" s="32" t="s">
        <v>29</v>
      </c>
      <c r="E446" s="23">
        <v>2005</v>
      </c>
      <c r="F446" s="23">
        <v>172</v>
      </c>
      <c r="G446" s="23">
        <v>149</v>
      </c>
      <c r="H446" s="23">
        <v>190</v>
      </c>
      <c r="M446" s="23">
        <v>3</v>
      </c>
      <c r="N446" s="37" t="s">
        <v>632</v>
      </c>
      <c r="O446" s="32"/>
      <c r="P446" s="32" t="s">
        <v>1788</v>
      </c>
    </row>
    <row r="447" spans="1:16" x14ac:dyDescent="0.45">
      <c r="A447" s="23">
        <v>417</v>
      </c>
      <c r="B447" s="23" t="s">
        <v>631</v>
      </c>
      <c r="C447" s="25" t="s">
        <v>8</v>
      </c>
      <c r="D447" s="32"/>
      <c r="E447" s="23">
        <v>1213</v>
      </c>
      <c r="F447" s="23">
        <v>155</v>
      </c>
      <c r="G447" s="23">
        <v>94</v>
      </c>
      <c r="H447" s="23">
        <v>172</v>
      </c>
      <c r="K447" s="23" t="s">
        <v>337</v>
      </c>
      <c r="L447" s="23">
        <v>5</v>
      </c>
      <c r="M447" s="23">
        <v>5</v>
      </c>
      <c r="N447" s="25" t="s">
        <v>630</v>
      </c>
      <c r="O447" s="37"/>
      <c r="P447" s="25" t="s">
        <v>629</v>
      </c>
    </row>
    <row r="448" spans="1:16" x14ac:dyDescent="0.45">
      <c r="A448" s="23">
        <v>418</v>
      </c>
      <c r="B448" s="23" t="s">
        <v>628</v>
      </c>
      <c r="C448" s="39" t="s">
        <v>111</v>
      </c>
      <c r="E448" s="23">
        <v>1054</v>
      </c>
      <c r="F448" s="23">
        <v>146</v>
      </c>
      <c r="G448" s="23">
        <v>132</v>
      </c>
      <c r="H448" s="23">
        <v>67</v>
      </c>
      <c r="K448" s="23" t="s">
        <v>337</v>
      </c>
      <c r="L448" s="23">
        <v>5</v>
      </c>
      <c r="M448" s="23">
        <v>3</v>
      </c>
      <c r="N448" s="31" t="s">
        <v>627</v>
      </c>
      <c r="O448" s="25"/>
      <c r="P448" s="39" t="s">
        <v>626</v>
      </c>
    </row>
    <row r="449" spans="1:17" x14ac:dyDescent="0.45">
      <c r="A449" s="23">
        <v>419</v>
      </c>
      <c r="B449" s="23" t="s">
        <v>122</v>
      </c>
      <c r="C449" s="39" t="s">
        <v>111</v>
      </c>
      <c r="E449" s="23">
        <v>2443</v>
      </c>
      <c r="F449" s="23">
        <v>198</v>
      </c>
      <c r="G449" s="23">
        <v>221</v>
      </c>
      <c r="H449" s="23">
        <v>114</v>
      </c>
      <c r="K449" s="23" t="s">
        <v>337</v>
      </c>
      <c r="M449" s="23">
        <v>3</v>
      </c>
      <c r="N449" s="39" t="s">
        <v>532</v>
      </c>
      <c r="O449" s="31"/>
      <c r="P449" s="31" t="s">
        <v>625</v>
      </c>
    </row>
    <row r="450" spans="1:17" x14ac:dyDescent="0.45">
      <c r="A450" s="23">
        <v>420</v>
      </c>
      <c r="B450" s="23" t="s">
        <v>624</v>
      </c>
      <c r="C450" s="36" t="s">
        <v>12</v>
      </c>
      <c r="E450" s="23">
        <v>950</v>
      </c>
      <c r="F450" s="23">
        <v>128</v>
      </c>
      <c r="G450" s="23">
        <v>108</v>
      </c>
      <c r="H450" s="23">
        <v>92</v>
      </c>
      <c r="K450" s="23" t="s">
        <v>337</v>
      </c>
      <c r="L450" s="23">
        <v>5</v>
      </c>
      <c r="M450" s="23">
        <v>1</v>
      </c>
      <c r="N450" s="31" t="s">
        <v>623</v>
      </c>
      <c r="O450" s="39"/>
      <c r="P450" s="36" t="s">
        <v>622</v>
      </c>
    </row>
    <row r="451" spans="1:17" x14ac:dyDescent="0.45">
      <c r="A451" s="23">
        <v>421</v>
      </c>
      <c r="B451" s="23" t="s">
        <v>621</v>
      </c>
      <c r="C451" s="36" t="s">
        <v>12</v>
      </c>
      <c r="E451" s="23">
        <v>2048</v>
      </c>
      <c r="F451" s="23">
        <v>172</v>
      </c>
      <c r="G451" s="23">
        <v>170</v>
      </c>
      <c r="H451" s="23">
        <v>153</v>
      </c>
      <c r="K451" s="23" t="s">
        <v>337</v>
      </c>
      <c r="M451" s="23">
        <v>1</v>
      </c>
      <c r="N451" s="36" t="s">
        <v>620</v>
      </c>
      <c r="O451" s="31"/>
      <c r="P451" s="36" t="s">
        <v>619</v>
      </c>
    </row>
    <row r="452" spans="1:17" x14ac:dyDescent="0.45">
      <c r="A452" s="23">
        <v>421</v>
      </c>
      <c r="B452" s="23" t="s">
        <v>248</v>
      </c>
      <c r="C452" s="36" t="s">
        <v>12</v>
      </c>
      <c r="E452" s="23">
        <v>2048</v>
      </c>
      <c r="F452" s="23">
        <v>172</v>
      </c>
      <c r="G452" s="23">
        <v>170</v>
      </c>
      <c r="H452" s="23">
        <v>153</v>
      </c>
      <c r="K452" s="23" t="s">
        <v>337</v>
      </c>
      <c r="M452" s="23">
        <v>1</v>
      </c>
      <c r="N452" s="36" t="s">
        <v>620</v>
      </c>
      <c r="O452" s="36"/>
      <c r="P452" s="36" t="s">
        <v>619</v>
      </c>
    </row>
    <row r="453" spans="1:17" x14ac:dyDescent="0.45">
      <c r="A453" s="23">
        <v>422</v>
      </c>
      <c r="B453" s="23" t="s">
        <v>617</v>
      </c>
      <c r="C453" s="39" t="s">
        <v>111</v>
      </c>
      <c r="E453" s="23">
        <v>1136</v>
      </c>
      <c r="F453" s="23">
        <v>183</v>
      </c>
      <c r="G453" s="23">
        <v>103</v>
      </c>
      <c r="H453" s="23">
        <v>105</v>
      </c>
      <c r="K453" s="23" t="s">
        <v>337</v>
      </c>
      <c r="M453" s="23">
        <v>3</v>
      </c>
      <c r="N453" s="35" t="s">
        <v>614</v>
      </c>
      <c r="O453" s="36"/>
      <c r="P453" s="35" t="s">
        <v>616</v>
      </c>
    </row>
    <row r="454" spans="1:17" x14ac:dyDescent="0.45">
      <c r="A454" s="23">
        <v>422</v>
      </c>
      <c r="B454" s="23" t="s">
        <v>618</v>
      </c>
      <c r="C454" s="39" t="s">
        <v>111</v>
      </c>
      <c r="E454" s="23">
        <v>1136</v>
      </c>
      <c r="F454" s="23">
        <v>183</v>
      </c>
      <c r="G454" s="23">
        <v>103</v>
      </c>
      <c r="H454" s="23">
        <v>105</v>
      </c>
      <c r="K454" s="23" t="s">
        <v>337</v>
      </c>
      <c r="M454" s="23">
        <v>3</v>
      </c>
      <c r="N454" s="35" t="s">
        <v>614</v>
      </c>
      <c r="O454" s="35"/>
      <c r="P454" s="35" t="s">
        <v>616</v>
      </c>
    </row>
    <row r="455" spans="1:17" x14ac:dyDescent="0.45">
      <c r="A455" s="23">
        <v>423</v>
      </c>
      <c r="B455" s="23" t="s">
        <v>615</v>
      </c>
      <c r="C455" s="35" t="s">
        <v>3</v>
      </c>
      <c r="D455" s="39" t="s">
        <v>111</v>
      </c>
      <c r="E455" s="23">
        <v>2324</v>
      </c>
      <c r="F455" s="23">
        <v>244</v>
      </c>
      <c r="G455" s="23">
        <v>169</v>
      </c>
      <c r="H455" s="23">
        <v>143</v>
      </c>
      <c r="M455" s="23">
        <v>3</v>
      </c>
      <c r="N455" s="35" t="s">
        <v>614</v>
      </c>
      <c r="O455" s="35"/>
      <c r="P455" s="35" t="s">
        <v>613</v>
      </c>
      <c r="Q455" s="35" t="s">
        <v>79</v>
      </c>
    </row>
    <row r="456" spans="1:17" x14ac:dyDescent="0.45">
      <c r="A456" s="23">
        <v>423</v>
      </c>
      <c r="B456" s="23" t="s">
        <v>247</v>
      </c>
      <c r="C456" s="35" t="s">
        <v>3</v>
      </c>
      <c r="D456" s="39" t="s">
        <v>111</v>
      </c>
      <c r="E456" s="23">
        <v>2324</v>
      </c>
      <c r="F456" s="23">
        <v>244</v>
      </c>
      <c r="G456" s="23">
        <v>169</v>
      </c>
      <c r="H456" s="23">
        <v>143</v>
      </c>
      <c r="M456" s="23">
        <v>3</v>
      </c>
      <c r="N456" s="35" t="s">
        <v>614</v>
      </c>
      <c r="O456" s="35"/>
      <c r="P456" s="35" t="s">
        <v>613</v>
      </c>
      <c r="Q456" s="35" t="s">
        <v>79</v>
      </c>
    </row>
    <row r="457" spans="1:17" x14ac:dyDescent="0.45">
      <c r="A457" s="23">
        <v>424</v>
      </c>
      <c r="B457" s="23" t="s">
        <v>278</v>
      </c>
      <c r="C457" s="31" t="s">
        <v>68</v>
      </c>
      <c r="D457" s="39"/>
      <c r="E457" s="23">
        <v>2418</v>
      </c>
      <c r="F457" s="23">
        <v>181</v>
      </c>
      <c r="G457" s="23">
        <v>205</v>
      </c>
      <c r="H457" s="23">
        <v>143</v>
      </c>
      <c r="I457" s="23" t="s">
        <v>337</v>
      </c>
      <c r="M457" s="23">
        <v>3</v>
      </c>
      <c r="N457" s="34" t="s">
        <v>612</v>
      </c>
      <c r="O457" s="35"/>
      <c r="P457" s="38" t="s">
        <v>611</v>
      </c>
    </row>
    <row r="458" spans="1:17" x14ac:dyDescent="0.45">
      <c r="A458" s="23">
        <v>425</v>
      </c>
      <c r="B458" s="23" t="s">
        <v>610</v>
      </c>
      <c r="C458" s="38" t="s">
        <v>72</v>
      </c>
      <c r="D458" s="34" t="s">
        <v>16</v>
      </c>
      <c r="E458" s="23">
        <v>1197</v>
      </c>
      <c r="F458" s="23">
        <v>207</v>
      </c>
      <c r="G458" s="23">
        <v>117</v>
      </c>
      <c r="H458" s="23">
        <v>80</v>
      </c>
      <c r="I458" s="23" t="s">
        <v>337</v>
      </c>
      <c r="K458" s="23" t="s">
        <v>337</v>
      </c>
      <c r="M458" s="23">
        <v>5</v>
      </c>
      <c r="N458" s="34" t="s">
        <v>496</v>
      </c>
      <c r="O458" s="34"/>
      <c r="P458" s="34" t="s">
        <v>609</v>
      </c>
    </row>
    <row r="459" spans="1:17" x14ac:dyDescent="0.45">
      <c r="A459" s="23">
        <v>426</v>
      </c>
      <c r="B459" s="23" t="s">
        <v>71</v>
      </c>
      <c r="C459" s="38" t="s">
        <v>72</v>
      </c>
      <c r="D459" s="34" t="s">
        <v>16</v>
      </c>
      <c r="E459" s="23">
        <v>2382</v>
      </c>
      <c r="F459" s="23">
        <v>312</v>
      </c>
      <c r="G459" s="23">
        <v>180</v>
      </c>
      <c r="H459" s="23">
        <v>102</v>
      </c>
      <c r="I459" s="23" t="s">
        <v>337</v>
      </c>
      <c r="K459" s="23" t="s">
        <v>337</v>
      </c>
      <c r="M459" s="23">
        <v>5</v>
      </c>
      <c r="N459" s="34" t="s">
        <v>496</v>
      </c>
      <c r="O459" s="34"/>
      <c r="P459" s="34" t="s">
        <v>609</v>
      </c>
    </row>
    <row r="460" spans="1:17" x14ac:dyDescent="0.45">
      <c r="A460" s="23">
        <v>427</v>
      </c>
      <c r="B460" s="23" t="s">
        <v>608</v>
      </c>
      <c r="C460" s="31" t="s">
        <v>68</v>
      </c>
      <c r="D460" s="34"/>
      <c r="E460" s="23">
        <v>1258</v>
      </c>
      <c r="F460" s="23">
        <v>146</v>
      </c>
      <c r="G460" s="23">
        <v>130</v>
      </c>
      <c r="H460" s="23">
        <v>105</v>
      </c>
      <c r="I460" s="23" t="s">
        <v>337</v>
      </c>
      <c r="K460" s="23" t="s">
        <v>337</v>
      </c>
      <c r="M460" s="23">
        <v>3</v>
      </c>
      <c r="N460" s="31" t="s">
        <v>607</v>
      </c>
      <c r="O460" s="34"/>
      <c r="P460" s="31" t="s">
        <v>606</v>
      </c>
    </row>
    <row r="461" spans="1:17" x14ac:dyDescent="0.45">
      <c r="A461" s="23">
        <v>428</v>
      </c>
      <c r="B461" s="23" t="s">
        <v>605</v>
      </c>
      <c r="C461" s="31" t="s">
        <v>68</v>
      </c>
      <c r="E461" s="23">
        <v>2059</v>
      </c>
      <c r="F461" s="23">
        <v>163</v>
      </c>
      <c r="G461" s="23">
        <v>156</v>
      </c>
      <c r="H461" s="23">
        <v>194</v>
      </c>
      <c r="I461" s="23" t="s">
        <v>337</v>
      </c>
      <c r="K461" s="23" t="s">
        <v>337</v>
      </c>
      <c r="M461" s="23">
        <v>3</v>
      </c>
      <c r="N461" s="28" t="s">
        <v>604</v>
      </c>
      <c r="O461" s="31"/>
      <c r="P461" s="28" t="s">
        <v>603</v>
      </c>
    </row>
    <row r="462" spans="1:17" x14ac:dyDescent="0.45">
      <c r="A462" s="23">
        <v>429</v>
      </c>
      <c r="B462" s="23" t="s">
        <v>149</v>
      </c>
      <c r="C462" s="34" t="s">
        <v>16</v>
      </c>
      <c r="E462" s="23">
        <v>2615</v>
      </c>
      <c r="F462" s="23">
        <v>155</v>
      </c>
      <c r="G462" s="23">
        <v>211</v>
      </c>
      <c r="H462" s="23">
        <v>187</v>
      </c>
      <c r="I462" s="23" t="s">
        <v>337</v>
      </c>
      <c r="M462" s="23">
        <v>1</v>
      </c>
      <c r="N462" s="34" t="s">
        <v>602</v>
      </c>
      <c r="O462" s="28"/>
      <c r="P462" s="29" t="s">
        <v>601</v>
      </c>
    </row>
    <row r="463" spans="1:17" x14ac:dyDescent="0.45">
      <c r="A463" s="23">
        <v>430</v>
      </c>
      <c r="B463" s="23" t="s">
        <v>600</v>
      </c>
      <c r="C463" s="38" t="s">
        <v>72</v>
      </c>
      <c r="D463" s="29" t="s">
        <v>78</v>
      </c>
      <c r="E463" s="23">
        <v>2711</v>
      </c>
      <c r="F463" s="23">
        <v>225</v>
      </c>
      <c r="G463" s="23">
        <v>243</v>
      </c>
      <c r="H463" s="23">
        <v>103</v>
      </c>
      <c r="I463" s="23" t="s">
        <v>337</v>
      </c>
      <c r="M463" s="23">
        <v>3</v>
      </c>
      <c r="N463" s="38" t="s">
        <v>599</v>
      </c>
      <c r="O463" s="34"/>
      <c r="P463" s="29" t="s">
        <v>598</v>
      </c>
    </row>
    <row r="464" spans="1:17" x14ac:dyDescent="0.45">
      <c r="A464" s="23">
        <v>431</v>
      </c>
      <c r="B464" s="23" t="s">
        <v>597</v>
      </c>
      <c r="C464" s="31" t="s">
        <v>68</v>
      </c>
      <c r="D464" s="29"/>
      <c r="E464" s="23">
        <v>934</v>
      </c>
      <c r="F464" s="23">
        <v>135</v>
      </c>
      <c r="G464" s="23">
        <v>109</v>
      </c>
      <c r="H464" s="23">
        <v>82</v>
      </c>
      <c r="K464" s="23" t="s">
        <v>337</v>
      </c>
      <c r="M464" s="23">
        <v>3</v>
      </c>
      <c r="N464" s="31" t="s">
        <v>596</v>
      </c>
      <c r="O464" s="38"/>
      <c r="P464" s="25" t="s">
        <v>595</v>
      </c>
    </row>
    <row r="465" spans="1:16" x14ac:dyDescent="0.45">
      <c r="A465" s="23">
        <v>432</v>
      </c>
      <c r="B465" s="23" t="s">
        <v>594</v>
      </c>
      <c r="C465" s="31" t="s">
        <v>68</v>
      </c>
      <c r="E465" s="23">
        <v>1953</v>
      </c>
      <c r="F465" s="23">
        <v>174</v>
      </c>
      <c r="G465" s="23">
        <v>172</v>
      </c>
      <c r="H465" s="23">
        <v>133</v>
      </c>
      <c r="K465" s="23" t="s">
        <v>337</v>
      </c>
      <c r="M465" s="23">
        <v>3</v>
      </c>
      <c r="N465" s="34" t="s">
        <v>593</v>
      </c>
      <c r="O465" s="31"/>
      <c r="P465" s="25" t="s">
        <v>592</v>
      </c>
    </row>
    <row r="466" spans="1:16" x14ac:dyDescent="0.45">
      <c r="A466" s="23">
        <v>433</v>
      </c>
      <c r="B466" s="23" t="s">
        <v>591</v>
      </c>
      <c r="C466" s="27" t="s">
        <v>18</v>
      </c>
      <c r="E466" s="23">
        <v>1005</v>
      </c>
      <c r="F466" s="23">
        <v>128</v>
      </c>
      <c r="G466" s="23">
        <v>114</v>
      </c>
      <c r="H466" s="23">
        <v>94</v>
      </c>
      <c r="M466" s="23">
        <v>1</v>
      </c>
      <c r="N466" s="34" t="s">
        <v>386</v>
      </c>
      <c r="O466" s="34"/>
      <c r="P466" s="27" t="s">
        <v>590</v>
      </c>
    </row>
    <row r="467" spans="1:16" x14ac:dyDescent="0.45">
      <c r="A467" s="23">
        <v>434</v>
      </c>
      <c r="B467" s="23" t="s">
        <v>589</v>
      </c>
      <c r="C467" s="37" t="s">
        <v>32</v>
      </c>
      <c r="D467" s="29" t="s">
        <v>78</v>
      </c>
      <c r="E467" s="23">
        <v>1151</v>
      </c>
      <c r="F467" s="23">
        <v>160</v>
      </c>
      <c r="G467" s="23">
        <v>121</v>
      </c>
      <c r="H467" s="23">
        <v>90</v>
      </c>
      <c r="K467" s="23" t="s">
        <v>337</v>
      </c>
      <c r="M467" s="23">
        <v>3</v>
      </c>
      <c r="N467" s="29" t="s">
        <v>588</v>
      </c>
      <c r="O467" s="34"/>
      <c r="P467" s="33" t="s">
        <v>586</v>
      </c>
    </row>
    <row r="468" spans="1:16" x14ac:dyDescent="0.45">
      <c r="A468" s="23">
        <v>435</v>
      </c>
      <c r="B468" s="23" t="s">
        <v>77</v>
      </c>
      <c r="C468" s="37" t="s">
        <v>32</v>
      </c>
      <c r="D468" s="29" t="s">
        <v>78</v>
      </c>
      <c r="E468" s="23">
        <v>2358</v>
      </c>
      <c r="F468" s="23">
        <v>230</v>
      </c>
      <c r="G468" s="23">
        <v>184</v>
      </c>
      <c r="H468" s="23">
        <v>132</v>
      </c>
      <c r="K468" s="23" t="s">
        <v>337</v>
      </c>
      <c r="M468" s="23">
        <v>3</v>
      </c>
      <c r="N468" s="29" t="s">
        <v>587</v>
      </c>
      <c r="O468" s="29"/>
      <c r="P468" s="33" t="s">
        <v>586</v>
      </c>
    </row>
    <row r="469" spans="1:16" x14ac:dyDescent="0.45">
      <c r="A469" s="23">
        <v>436</v>
      </c>
      <c r="B469" s="23" t="s">
        <v>585</v>
      </c>
      <c r="C469" s="26" t="s">
        <v>4</v>
      </c>
      <c r="D469" s="27" t="s">
        <v>18</v>
      </c>
      <c r="E469" s="23">
        <v>603</v>
      </c>
      <c r="F469" s="23">
        <v>149</v>
      </c>
      <c r="G469" s="23">
        <v>43</v>
      </c>
      <c r="H469" s="23">
        <v>154</v>
      </c>
      <c r="I469" s="23" t="s">
        <v>337</v>
      </c>
      <c r="K469" s="23" t="s">
        <v>337</v>
      </c>
      <c r="M469" s="23">
        <v>3</v>
      </c>
      <c r="N469" s="31" t="s">
        <v>584</v>
      </c>
      <c r="O469" s="29"/>
      <c r="P469" s="27" t="s">
        <v>583</v>
      </c>
    </row>
    <row r="470" spans="1:16" x14ac:dyDescent="0.45">
      <c r="A470" s="23">
        <v>437</v>
      </c>
      <c r="B470" s="23" t="s">
        <v>17</v>
      </c>
      <c r="C470" s="26" t="s">
        <v>4</v>
      </c>
      <c r="D470" s="27" t="s">
        <v>18</v>
      </c>
      <c r="E470" s="23">
        <v>2239</v>
      </c>
      <c r="F470" s="23">
        <v>167</v>
      </c>
      <c r="G470" s="23">
        <v>161</v>
      </c>
      <c r="H470" s="23">
        <v>213</v>
      </c>
      <c r="I470" s="23" t="s">
        <v>337</v>
      </c>
      <c r="K470" s="23" t="s">
        <v>337</v>
      </c>
      <c r="M470" s="23">
        <v>3</v>
      </c>
      <c r="N470" s="29" t="s">
        <v>582</v>
      </c>
      <c r="O470" s="31"/>
      <c r="P470" s="27" t="s">
        <v>581</v>
      </c>
    </row>
    <row r="471" spans="1:16" x14ac:dyDescent="0.45">
      <c r="A471" s="23">
        <v>438</v>
      </c>
      <c r="B471" s="23" t="s">
        <v>580</v>
      </c>
      <c r="C471" s="41" t="s">
        <v>43</v>
      </c>
      <c r="D471" s="27"/>
      <c r="E471" s="23">
        <v>1302</v>
      </c>
      <c r="F471" s="23">
        <v>137</v>
      </c>
      <c r="G471" s="23">
        <v>124</v>
      </c>
      <c r="H471" s="23">
        <v>133</v>
      </c>
      <c r="I471" s="23" t="s">
        <v>337</v>
      </c>
      <c r="M471" s="23">
        <v>5</v>
      </c>
      <c r="N471" s="41" t="s">
        <v>579</v>
      </c>
      <c r="O471" s="29"/>
      <c r="P471" s="41" t="s">
        <v>2607</v>
      </c>
    </row>
    <row r="472" spans="1:16" x14ac:dyDescent="0.45">
      <c r="A472" s="23">
        <v>439</v>
      </c>
      <c r="B472" s="23" t="s">
        <v>578</v>
      </c>
      <c r="C472" s="27" t="s">
        <v>18</v>
      </c>
      <c r="D472" s="40" t="s">
        <v>61</v>
      </c>
      <c r="E472" s="23">
        <v>1095</v>
      </c>
      <c r="F472" s="23">
        <v>85</v>
      </c>
      <c r="G472" s="23">
        <v>125</v>
      </c>
      <c r="H472" s="23">
        <v>142</v>
      </c>
      <c r="I472" s="23" t="s">
        <v>337</v>
      </c>
      <c r="L472" s="23">
        <v>5</v>
      </c>
      <c r="M472" s="23">
        <v>1</v>
      </c>
      <c r="N472" s="27" t="s">
        <v>577</v>
      </c>
      <c r="O472" s="41"/>
      <c r="P472" s="27" t="s">
        <v>576</v>
      </c>
    </row>
    <row r="473" spans="1:16" x14ac:dyDescent="0.45">
      <c r="A473" s="23">
        <v>440</v>
      </c>
      <c r="B473" s="23" t="s">
        <v>575</v>
      </c>
      <c r="C473" s="31" t="s">
        <v>68</v>
      </c>
      <c r="D473" s="40"/>
      <c r="E473" s="23">
        <v>371</v>
      </c>
      <c r="F473" s="23">
        <v>225</v>
      </c>
      <c r="G473" s="23">
        <v>25</v>
      </c>
      <c r="H473" s="23">
        <v>77</v>
      </c>
      <c r="M473" s="23">
        <v>5</v>
      </c>
      <c r="N473" s="27" t="s">
        <v>574</v>
      </c>
      <c r="O473" s="27"/>
      <c r="P473" s="27" t="s">
        <v>573</v>
      </c>
    </row>
    <row r="474" spans="1:16" x14ac:dyDescent="0.45">
      <c r="A474" s="23">
        <v>441</v>
      </c>
      <c r="B474" s="23" t="s">
        <v>572</v>
      </c>
      <c r="C474" s="31" t="s">
        <v>68</v>
      </c>
      <c r="D474" s="38" t="s">
        <v>72</v>
      </c>
      <c r="E474" s="23">
        <v>1791</v>
      </c>
      <c r="F474" s="23">
        <v>183</v>
      </c>
      <c r="G474" s="23">
        <v>183</v>
      </c>
      <c r="H474" s="23">
        <v>91</v>
      </c>
      <c r="K474" s="23" t="s">
        <v>337</v>
      </c>
      <c r="L474" s="23">
        <v>5</v>
      </c>
      <c r="M474" s="23">
        <v>5</v>
      </c>
      <c r="N474" s="38" t="s">
        <v>571</v>
      </c>
      <c r="O474" s="27"/>
      <c r="P474" s="38" t="s">
        <v>570</v>
      </c>
    </row>
    <row r="475" spans="1:16" x14ac:dyDescent="0.45">
      <c r="A475" s="23">
        <v>442</v>
      </c>
      <c r="B475" s="23" t="s">
        <v>569</v>
      </c>
      <c r="C475" s="34" t="s">
        <v>16</v>
      </c>
      <c r="D475" s="29" t="s">
        <v>78</v>
      </c>
      <c r="E475" s="23">
        <v>2072</v>
      </c>
      <c r="F475" s="23">
        <v>137</v>
      </c>
      <c r="G475" s="23">
        <v>169</v>
      </c>
      <c r="H475" s="23">
        <v>199</v>
      </c>
      <c r="M475" s="23">
        <v>5</v>
      </c>
      <c r="N475" s="29" t="s">
        <v>568</v>
      </c>
      <c r="O475" s="38"/>
      <c r="P475" s="34" t="s">
        <v>567</v>
      </c>
    </row>
    <row r="476" spans="1:16" x14ac:dyDescent="0.45">
      <c r="A476" s="23">
        <v>443</v>
      </c>
      <c r="B476" s="23" t="s">
        <v>566</v>
      </c>
      <c r="C476" s="35" t="s">
        <v>3</v>
      </c>
      <c r="D476" s="30" t="s">
        <v>90</v>
      </c>
      <c r="E476" s="23">
        <v>1112</v>
      </c>
      <c r="F476" s="23">
        <v>151</v>
      </c>
      <c r="G476" s="23">
        <v>124</v>
      </c>
      <c r="H476" s="23">
        <v>84</v>
      </c>
      <c r="I476" s="23" t="s">
        <v>337</v>
      </c>
      <c r="K476" s="23" t="s">
        <v>337</v>
      </c>
      <c r="L476" s="23">
        <v>10</v>
      </c>
      <c r="M476" s="23">
        <v>5</v>
      </c>
      <c r="N476" s="31" t="s">
        <v>563</v>
      </c>
      <c r="O476" s="29"/>
      <c r="P476" s="35" t="s">
        <v>565</v>
      </c>
    </row>
    <row r="477" spans="1:16" x14ac:dyDescent="0.45">
      <c r="A477" s="23">
        <v>444</v>
      </c>
      <c r="B477" s="23" t="s">
        <v>564</v>
      </c>
      <c r="C477" s="35" t="s">
        <v>3</v>
      </c>
      <c r="D477" s="30" t="s">
        <v>90</v>
      </c>
      <c r="E477" s="23">
        <v>1874</v>
      </c>
      <c r="F477" s="23">
        <v>169</v>
      </c>
      <c r="G477" s="23">
        <v>172</v>
      </c>
      <c r="H477" s="23">
        <v>125</v>
      </c>
      <c r="I477" s="23" t="s">
        <v>337</v>
      </c>
      <c r="K477" s="23" t="s">
        <v>337</v>
      </c>
      <c r="M477" s="23">
        <v>5</v>
      </c>
      <c r="N477" s="31" t="s">
        <v>563</v>
      </c>
      <c r="O477" s="31"/>
      <c r="P477" s="35" t="s">
        <v>562</v>
      </c>
    </row>
    <row r="478" spans="1:16" x14ac:dyDescent="0.45">
      <c r="A478" s="23">
        <v>445</v>
      </c>
      <c r="B478" s="23" t="s">
        <v>561</v>
      </c>
      <c r="C478" s="35" t="s">
        <v>3</v>
      </c>
      <c r="D478" s="30" t="s">
        <v>90</v>
      </c>
      <c r="E478" s="23">
        <v>3962</v>
      </c>
      <c r="F478" s="23">
        <v>239</v>
      </c>
      <c r="G478" s="23">
        <v>261</v>
      </c>
      <c r="H478" s="23">
        <v>193</v>
      </c>
      <c r="I478" s="23" t="s">
        <v>337</v>
      </c>
      <c r="M478" s="23">
        <v>5</v>
      </c>
      <c r="N478" s="30" t="s">
        <v>560</v>
      </c>
      <c r="O478" s="31"/>
      <c r="P478" s="30" t="s">
        <v>2608</v>
      </c>
    </row>
    <row r="479" spans="1:16" x14ac:dyDescent="0.45">
      <c r="A479" s="23">
        <v>446</v>
      </c>
      <c r="B479" s="23" t="s">
        <v>559</v>
      </c>
      <c r="C479" s="31" t="s">
        <v>68</v>
      </c>
      <c r="D479" s="30"/>
      <c r="E479" s="23">
        <v>1892</v>
      </c>
      <c r="F479" s="23">
        <v>286</v>
      </c>
      <c r="G479" s="23">
        <v>137</v>
      </c>
      <c r="H479" s="23">
        <v>117</v>
      </c>
      <c r="M479" s="23">
        <v>5</v>
      </c>
      <c r="N479" s="34" t="s">
        <v>558</v>
      </c>
      <c r="O479" s="30"/>
      <c r="P479" s="35" t="s">
        <v>557</v>
      </c>
    </row>
    <row r="480" spans="1:16" x14ac:dyDescent="0.45">
      <c r="A480" s="23">
        <v>447</v>
      </c>
      <c r="B480" s="23" t="s">
        <v>556</v>
      </c>
      <c r="C480" s="28" t="s">
        <v>47</v>
      </c>
      <c r="E480" s="23">
        <v>993</v>
      </c>
      <c r="F480" s="23">
        <v>120</v>
      </c>
      <c r="G480" s="23">
        <v>127</v>
      </c>
      <c r="H480" s="23">
        <v>78</v>
      </c>
      <c r="M480" s="23">
        <v>5</v>
      </c>
      <c r="N480" s="28" t="s">
        <v>555</v>
      </c>
      <c r="O480" s="34"/>
      <c r="P480" s="28" t="s">
        <v>554</v>
      </c>
    </row>
    <row r="481" spans="1:17" x14ac:dyDescent="0.45">
      <c r="A481" s="23">
        <v>448</v>
      </c>
      <c r="B481" s="23" t="s">
        <v>156</v>
      </c>
      <c r="C481" s="28" t="s">
        <v>47</v>
      </c>
      <c r="D481" s="26" t="s">
        <v>4</v>
      </c>
      <c r="E481" s="23">
        <v>2703</v>
      </c>
      <c r="F481" s="23">
        <v>172</v>
      </c>
      <c r="G481" s="23">
        <v>236</v>
      </c>
      <c r="H481" s="23">
        <v>144</v>
      </c>
      <c r="M481" s="23">
        <v>5</v>
      </c>
      <c r="N481" s="28" t="s">
        <v>553</v>
      </c>
      <c r="O481" s="28"/>
      <c r="P481" s="28" t="s">
        <v>1789</v>
      </c>
    </row>
    <row r="482" spans="1:17" x14ac:dyDescent="0.45">
      <c r="A482" s="23">
        <v>449</v>
      </c>
      <c r="B482" s="23" t="s">
        <v>552</v>
      </c>
      <c r="C482" s="35" t="s">
        <v>3</v>
      </c>
      <c r="D482" s="26"/>
      <c r="E482" s="23">
        <v>1358</v>
      </c>
      <c r="F482" s="23">
        <v>169</v>
      </c>
      <c r="G482" s="23">
        <v>124</v>
      </c>
      <c r="H482" s="23">
        <v>118</v>
      </c>
      <c r="K482" s="23" t="s">
        <v>337</v>
      </c>
      <c r="M482" s="23">
        <v>3</v>
      </c>
      <c r="N482" s="29" t="s">
        <v>441</v>
      </c>
      <c r="O482" s="28"/>
      <c r="P482" s="35" t="s">
        <v>551</v>
      </c>
    </row>
    <row r="483" spans="1:17" x14ac:dyDescent="0.45">
      <c r="A483" s="23">
        <v>450</v>
      </c>
      <c r="B483" s="23" t="s">
        <v>550</v>
      </c>
      <c r="C483" s="35" t="s">
        <v>3</v>
      </c>
      <c r="E483" s="23">
        <v>3085</v>
      </c>
      <c r="F483" s="23">
        <v>239</v>
      </c>
      <c r="G483" s="23">
        <v>201</v>
      </c>
      <c r="H483" s="23">
        <v>191</v>
      </c>
      <c r="K483" s="23" t="s">
        <v>337</v>
      </c>
      <c r="M483" s="23">
        <v>3</v>
      </c>
      <c r="N483" s="29" t="s">
        <v>549</v>
      </c>
      <c r="O483" s="29"/>
      <c r="P483" s="35" t="s">
        <v>548</v>
      </c>
    </row>
    <row r="484" spans="1:17" x14ac:dyDescent="0.45">
      <c r="A484" s="23">
        <v>451</v>
      </c>
      <c r="B484" s="23" t="s">
        <v>547</v>
      </c>
      <c r="C484" s="37" t="s">
        <v>32</v>
      </c>
      <c r="D484" s="32" t="s">
        <v>29</v>
      </c>
      <c r="E484" s="23">
        <v>1009</v>
      </c>
      <c r="F484" s="23">
        <v>120</v>
      </c>
      <c r="G484" s="23">
        <v>93</v>
      </c>
      <c r="H484" s="23">
        <v>151</v>
      </c>
      <c r="K484" s="23" t="s">
        <v>337</v>
      </c>
      <c r="L484" s="23">
        <v>5</v>
      </c>
      <c r="M484" s="23">
        <v>5</v>
      </c>
      <c r="N484" s="37" t="s">
        <v>546</v>
      </c>
      <c r="O484" s="29"/>
      <c r="P484" s="39" t="s">
        <v>545</v>
      </c>
    </row>
    <row r="485" spans="1:17" x14ac:dyDescent="0.45">
      <c r="A485" s="23">
        <v>452</v>
      </c>
      <c r="B485" s="23" t="s">
        <v>93</v>
      </c>
      <c r="C485" s="37" t="s">
        <v>32</v>
      </c>
      <c r="D485" s="29" t="s">
        <v>78</v>
      </c>
      <c r="E485" s="23">
        <v>2453</v>
      </c>
      <c r="F485" s="23">
        <v>172</v>
      </c>
      <c r="G485" s="23">
        <v>180</v>
      </c>
      <c r="H485" s="23">
        <v>202</v>
      </c>
      <c r="K485" s="23" t="s">
        <v>337</v>
      </c>
      <c r="M485" s="23">
        <v>5</v>
      </c>
      <c r="N485" s="29" t="s">
        <v>544</v>
      </c>
      <c r="O485" s="37"/>
      <c r="P485" s="39" t="s">
        <v>1790</v>
      </c>
    </row>
    <row r="486" spans="1:17" x14ac:dyDescent="0.45">
      <c r="A486" s="23">
        <v>453</v>
      </c>
      <c r="B486" s="23" t="s">
        <v>543</v>
      </c>
      <c r="C486" s="28" t="s">
        <v>47</v>
      </c>
      <c r="D486" s="37" t="s">
        <v>32</v>
      </c>
      <c r="E486" s="23">
        <v>952</v>
      </c>
      <c r="F486" s="23">
        <v>134</v>
      </c>
      <c r="G486" s="23">
        <v>116</v>
      </c>
      <c r="H486" s="23">
        <v>76</v>
      </c>
      <c r="K486" s="23" t="s">
        <v>337</v>
      </c>
      <c r="L486" s="23">
        <v>5</v>
      </c>
      <c r="M486" s="23">
        <v>3</v>
      </c>
      <c r="N486" s="37" t="s">
        <v>542</v>
      </c>
      <c r="O486" s="29"/>
      <c r="P486" s="28" t="s">
        <v>541</v>
      </c>
    </row>
    <row r="487" spans="1:17" x14ac:dyDescent="0.45">
      <c r="A487" s="23">
        <v>454</v>
      </c>
      <c r="B487" s="23" t="s">
        <v>100</v>
      </c>
      <c r="C487" s="28" t="s">
        <v>47</v>
      </c>
      <c r="D487" s="37" t="s">
        <v>32</v>
      </c>
      <c r="E487" s="23">
        <v>2488</v>
      </c>
      <c r="F487" s="23">
        <v>195</v>
      </c>
      <c r="G487" s="23">
        <v>211</v>
      </c>
      <c r="H487" s="23">
        <v>133</v>
      </c>
      <c r="K487" s="23" t="s">
        <v>337</v>
      </c>
      <c r="M487" s="23">
        <v>3</v>
      </c>
      <c r="N487" s="28" t="s">
        <v>540</v>
      </c>
      <c r="O487" s="37"/>
      <c r="P487" s="35" t="s">
        <v>539</v>
      </c>
    </row>
    <row r="488" spans="1:17" x14ac:dyDescent="0.45">
      <c r="A488" s="23">
        <v>455</v>
      </c>
      <c r="B488" s="23" t="s">
        <v>538</v>
      </c>
      <c r="C488" s="36" t="s">
        <v>12</v>
      </c>
      <c r="D488" s="37"/>
      <c r="E488" s="23">
        <v>2159</v>
      </c>
      <c r="F488" s="23">
        <v>179</v>
      </c>
      <c r="G488" s="23">
        <v>187</v>
      </c>
      <c r="H488" s="23">
        <v>136</v>
      </c>
      <c r="K488" s="23" t="s">
        <v>337</v>
      </c>
      <c r="M488" s="23">
        <v>5</v>
      </c>
      <c r="N488" s="29" t="s">
        <v>421</v>
      </c>
      <c r="O488" s="28"/>
      <c r="P488" s="36" t="s">
        <v>537</v>
      </c>
    </row>
    <row r="489" spans="1:17" x14ac:dyDescent="0.45">
      <c r="A489" s="23">
        <v>456</v>
      </c>
      <c r="B489" s="23" t="s">
        <v>536</v>
      </c>
      <c r="C489" s="39" t="s">
        <v>111</v>
      </c>
      <c r="E489" s="23">
        <v>971</v>
      </c>
      <c r="F489" s="23">
        <v>135</v>
      </c>
      <c r="G489" s="23">
        <v>96</v>
      </c>
      <c r="H489" s="23">
        <v>116</v>
      </c>
      <c r="K489" s="23" t="s">
        <v>337</v>
      </c>
      <c r="M489" s="23">
        <v>3</v>
      </c>
      <c r="N489" s="31" t="s">
        <v>535</v>
      </c>
      <c r="O489" s="29"/>
      <c r="P489" s="32" t="s">
        <v>534</v>
      </c>
    </row>
    <row r="490" spans="1:17" x14ac:dyDescent="0.45">
      <c r="A490" s="23">
        <v>457</v>
      </c>
      <c r="B490" s="23" t="s">
        <v>533</v>
      </c>
      <c r="C490" s="39" t="s">
        <v>111</v>
      </c>
      <c r="E490" s="23">
        <v>1814</v>
      </c>
      <c r="F490" s="23">
        <v>170</v>
      </c>
      <c r="G490" s="23">
        <v>142</v>
      </c>
      <c r="H490" s="23">
        <v>170</v>
      </c>
      <c r="K490" s="23" t="s">
        <v>337</v>
      </c>
      <c r="M490" s="23">
        <v>3</v>
      </c>
      <c r="N490" s="39" t="s">
        <v>532</v>
      </c>
      <c r="O490" s="31"/>
      <c r="P490" s="32" t="s">
        <v>531</v>
      </c>
    </row>
    <row r="491" spans="1:17" x14ac:dyDescent="0.45">
      <c r="A491" s="23">
        <v>458</v>
      </c>
      <c r="B491" s="23" t="s">
        <v>530</v>
      </c>
      <c r="C491" s="38" t="s">
        <v>72</v>
      </c>
      <c r="D491" s="39" t="s">
        <v>111</v>
      </c>
      <c r="E491" s="23">
        <v>1248</v>
      </c>
      <c r="F491" s="23">
        <v>128</v>
      </c>
      <c r="G491" s="23">
        <v>105</v>
      </c>
      <c r="H491" s="23">
        <v>179</v>
      </c>
      <c r="M491" s="23">
        <v>5</v>
      </c>
      <c r="N491" s="39" t="s">
        <v>529</v>
      </c>
      <c r="O491" s="39"/>
      <c r="P491" s="38" t="s">
        <v>528</v>
      </c>
    </row>
    <row r="492" spans="1:17" x14ac:dyDescent="0.45">
      <c r="A492" s="23">
        <v>459</v>
      </c>
      <c r="B492" s="23" t="s">
        <v>527</v>
      </c>
      <c r="C492" s="36" t="s">
        <v>12</v>
      </c>
      <c r="D492" s="42" t="s">
        <v>62</v>
      </c>
      <c r="E492" s="23">
        <v>1159</v>
      </c>
      <c r="F492" s="23">
        <v>155</v>
      </c>
      <c r="G492" s="23">
        <v>115</v>
      </c>
      <c r="H492" s="23">
        <v>105</v>
      </c>
      <c r="I492" s="23" t="s">
        <v>337</v>
      </c>
      <c r="J492" s="23" t="s">
        <v>337</v>
      </c>
      <c r="K492" s="23" t="s">
        <v>337</v>
      </c>
      <c r="M492" s="23">
        <v>3</v>
      </c>
      <c r="N492" s="42" t="s">
        <v>526</v>
      </c>
      <c r="O492" s="39"/>
      <c r="P492" s="36" t="s">
        <v>3296</v>
      </c>
      <c r="Q492" s="31" t="s">
        <v>3338</v>
      </c>
    </row>
    <row r="493" spans="1:17" x14ac:dyDescent="0.45">
      <c r="A493" s="23">
        <v>460</v>
      </c>
      <c r="B493" s="23" t="s">
        <v>258</v>
      </c>
      <c r="C493" s="36" t="s">
        <v>12</v>
      </c>
      <c r="D493" s="42" t="s">
        <v>62</v>
      </c>
      <c r="E493" s="23">
        <v>2362</v>
      </c>
      <c r="F493" s="23">
        <v>207</v>
      </c>
      <c r="G493" s="23">
        <v>178</v>
      </c>
      <c r="H493" s="23">
        <v>158</v>
      </c>
      <c r="I493" s="23" t="s">
        <v>337</v>
      </c>
      <c r="J493" s="23" t="s">
        <v>337</v>
      </c>
      <c r="K493" s="23" t="s">
        <v>337</v>
      </c>
      <c r="M493" s="23">
        <v>3</v>
      </c>
      <c r="N493" s="42" t="s">
        <v>525</v>
      </c>
      <c r="O493" s="42"/>
      <c r="P493" s="36" t="s">
        <v>3297</v>
      </c>
      <c r="Q493" s="31" t="s">
        <v>3338</v>
      </c>
    </row>
    <row r="494" spans="1:17" x14ac:dyDescent="0.45">
      <c r="A494" s="23">
        <v>461</v>
      </c>
      <c r="B494" s="23" t="s">
        <v>242</v>
      </c>
      <c r="C494" s="42" t="s">
        <v>62</v>
      </c>
      <c r="D494" s="29" t="s">
        <v>78</v>
      </c>
      <c r="E494" s="23">
        <v>3005</v>
      </c>
      <c r="F494" s="23">
        <v>172</v>
      </c>
      <c r="G494" s="23">
        <v>243</v>
      </c>
      <c r="H494" s="23">
        <v>171</v>
      </c>
      <c r="I494" s="23" t="s">
        <v>337</v>
      </c>
      <c r="J494" s="23" t="s">
        <v>337</v>
      </c>
      <c r="M494" s="23">
        <v>3</v>
      </c>
      <c r="N494" s="42" t="s">
        <v>524</v>
      </c>
      <c r="O494" s="42"/>
      <c r="P494" s="29" t="s">
        <v>3298</v>
      </c>
      <c r="Q494" s="31" t="s">
        <v>3338</v>
      </c>
    </row>
    <row r="495" spans="1:17" x14ac:dyDescent="0.45">
      <c r="A495" s="23">
        <v>462</v>
      </c>
      <c r="B495" s="23" t="s">
        <v>523</v>
      </c>
      <c r="C495" s="26" t="s">
        <v>4</v>
      </c>
      <c r="D495" s="25" t="s">
        <v>8</v>
      </c>
      <c r="E495" s="23">
        <v>3205</v>
      </c>
      <c r="F495" s="23">
        <v>172</v>
      </c>
      <c r="G495" s="23">
        <v>238</v>
      </c>
      <c r="H495" s="23">
        <v>205</v>
      </c>
      <c r="I495" s="23" t="s">
        <v>337</v>
      </c>
      <c r="J495" s="23" t="s">
        <v>337</v>
      </c>
      <c r="M495" s="23">
        <v>3</v>
      </c>
      <c r="N495" s="25" t="s">
        <v>522</v>
      </c>
      <c r="O495" s="42"/>
      <c r="P495" s="25" t="s">
        <v>3299</v>
      </c>
      <c r="Q495" s="31" t="s">
        <v>3338</v>
      </c>
    </row>
    <row r="496" spans="1:17" x14ac:dyDescent="0.45">
      <c r="A496" s="23">
        <v>463</v>
      </c>
      <c r="B496" s="23" t="s">
        <v>521</v>
      </c>
      <c r="C496" s="31" t="s">
        <v>68</v>
      </c>
      <c r="D496" s="25"/>
      <c r="E496" s="23">
        <v>2467</v>
      </c>
      <c r="F496" s="23">
        <v>242</v>
      </c>
      <c r="G496" s="23">
        <v>161</v>
      </c>
      <c r="H496" s="23">
        <v>181</v>
      </c>
      <c r="M496" s="23">
        <v>3</v>
      </c>
      <c r="N496" s="34" t="s">
        <v>520</v>
      </c>
      <c r="O496" s="25"/>
      <c r="P496" s="34" t="s">
        <v>1763</v>
      </c>
    </row>
    <row r="497" spans="1:17" x14ac:dyDescent="0.45">
      <c r="A497" s="23">
        <v>464</v>
      </c>
      <c r="B497" s="23" t="s">
        <v>310</v>
      </c>
      <c r="C497" s="35" t="s">
        <v>3</v>
      </c>
      <c r="D497" s="41" t="s">
        <v>43</v>
      </c>
      <c r="E497" s="23">
        <v>3733</v>
      </c>
      <c r="F497" s="23">
        <v>251</v>
      </c>
      <c r="G497" s="23">
        <v>241</v>
      </c>
      <c r="H497" s="23">
        <v>190</v>
      </c>
      <c r="M497" s="23">
        <v>3</v>
      </c>
      <c r="N497" s="41" t="s">
        <v>519</v>
      </c>
      <c r="O497" s="34"/>
      <c r="P497" s="35" t="s">
        <v>1791</v>
      </c>
    </row>
    <row r="498" spans="1:17" x14ac:dyDescent="0.45">
      <c r="A498" s="23">
        <v>465</v>
      </c>
      <c r="B498" s="23" t="s">
        <v>518</v>
      </c>
      <c r="C498" s="36" t="s">
        <v>12</v>
      </c>
      <c r="D498" s="41"/>
      <c r="E498" s="23">
        <v>3030</v>
      </c>
      <c r="F498" s="23">
        <v>225</v>
      </c>
      <c r="G498" s="23">
        <v>207</v>
      </c>
      <c r="H498" s="23">
        <v>184</v>
      </c>
      <c r="M498" s="23">
        <v>3</v>
      </c>
      <c r="N498" s="36" t="s">
        <v>517</v>
      </c>
      <c r="O498" s="41"/>
      <c r="P498" s="41" t="s">
        <v>1764</v>
      </c>
    </row>
    <row r="499" spans="1:17" x14ac:dyDescent="0.45">
      <c r="A499" s="23">
        <v>466</v>
      </c>
      <c r="B499" s="23" t="s">
        <v>116</v>
      </c>
      <c r="C499" s="25" t="s">
        <v>8</v>
      </c>
      <c r="E499" s="23">
        <v>3079</v>
      </c>
      <c r="F499" s="23">
        <v>181</v>
      </c>
      <c r="G499" s="23">
        <v>249</v>
      </c>
      <c r="H499" s="23">
        <v>163</v>
      </c>
      <c r="I499" s="23" t="s">
        <v>337</v>
      </c>
      <c r="J499" s="23" t="s">
        <v>337</v>
      </c>
      <c r="M499" s="23">
        <v>5</v>
      </c>
      <c r="N499" s="28" t="s">
        <v>516</v>
      </c>
      <c r="O499" s="36"/>
      <c r="P499" s="25" t="s">
        <v>3300</v>
      </c>
      <c r="Q499" s="31" t="s">
        <v>3338</v>
      </c>
    </row>
    <row r="500" spans="1:17" x14ac:dyDescent="0.45">
      <c r="A500" s="23">
        <v>467</v>
      </c>
      <c r="B500" s="23" t="s">
        <v>107</v>
      </c>
      <c r="C500" s="33" t="s">
        <v>22</v>
      </c>
      <c r="E500" s="23">
        <v>3132</v>
      </c>
      <c r="F500" s="23">
        <v>181</v>
      </c>
      <c r="G500" s="23">
        <v>247</v>
      </c>
      <c r="H500" s="23">
        <v>172</v>
      </c>
      <c r="I500" s="23" t="s">
        <v>337</v>
      </c>
      <c r="J500" s="23" t="s">
        <v>337</v>
      </c>
      <c r="M500" s="23">
        <v>5</v>
      </c>
      <c r="N500" s="28" t="s">
        <v>515</v>
      </c>
      <c r="O500" s="28"/>
      <c r="P500" s="28" t="s">
        <v>3301</v>
      </c>
      <c r="Q500" s="31" t="s">
        <v>3338</v>
      </c>
    </row>
    <row r="501" spans="1:17" x14ac:dyDescent="0.45">
      <c r="A501" s="23">
        <v>468</v>
      </c>
      <c r="B501" s="23" t="s">
        <v>514</v>
      </c>
      <c r="C501" s="38" t="s">
        <v>72</v>
      </c>
      <c r="D501" s="40" t="s">
        <v>61</v>
      </c>
      <c r="E501" s="23">
        <v>3332</v>
      </c>
      <c r="F501" s="23">
        <v>198</v>
      </c>
      <c r="G501" s="23">
        <v>225</v>
      </c>
      <c r="H501" s="23">
        <v>217</v>
      </c>
      <c r="I501" s="23" t="s">
        <v>337</v>
      </c>
      <c r="M501" s="23">
        <v>3</v>
      </c>
      <c r="N501" s="40" t="s">
        <v>513</v>
      </c>
      <c r="O501" s="28"/>
      <c r="P501" s="33" t="s">
        <v>512</v>
      </c>
    </row>
    <row r="502" spans="1:17" x14ac:dyDescent="0.45">
      <c r="A502" s="23">
        <v>469</v>
      </c>
      <c r="B502" s="23" t="s">
        <v>511</v>
      </c>
      <c r="C502" s="38" t="s">
        <v>72</v>
      </c>
      <c r="D502" s="32" t="s">
        <v>29</v>
      </c>
      <c r="E502" s="23">
        <v>2946</v>
      </c>
      <c r="F502" s="23">
        <v>200</v>
      </c>
      <c r="G502" s="23">
        <v>231</v>
      </c>
      <c r="H502" s="23">
        <v>156</v>
      </c>
      <c r="I502" s="23" t="s">
        <v>337</v>
      </c>
      <c r="M502" s="23">
        <v>3</v>
      </c>
      <c r="N502" s="38" t="s">
        <v>510</v>
      </c>
      <c r="O502" s="40"/>
      <c r="P502" s="41" t="s">
        <v>509</v>
      </c>
    </row>
    <row r="503" spans="1:17" x14ac:dyDescent="0.45">
      <c r="A503" s="23">
        <v>470</v>
      </c>
      <c r="B503" s="23" t="s">
        <v>292</v>
      </c>
      <c r="C503" s="36" t="s">
        <v>12</v>
      </c>
      <c r="D503" s="32"/>
      <c r="E503" s="23">
        <v>2944</v>
      </c>
      <c r="F503" s="23">
        <v>163</v>
      </c>
      <c r="G503" s="23">
        <v>216</v>
      </c>
      <c r="H503" s="23">
        <v>219</v>
      </c>
      <c r="I503" s="23" t="s">
        <v>337</v>
      </c>
      <c r="M503" s="23">
        <v>5</v>
      </c>
      <c r="N503" s="31" t="s">
        <v>508</v>
      </c>
      <c r="O503" s="38"/>
      <c r="P503" s="36" t="s">
        <v>507</v>
      </c>
      <c r="Q503" s="31" t="s">
        <v>1567</v>
      </c>
    </row>
    <row r="504" spans="1:17" x14ac:dyDescent="0.45">
      <c r="A504" s="23">
        <v>471</v>
      </c>
      <c r="B504" s="23" t="s">
        <v>308</v>
      </c>
      <c r="C504" s="42" t="s">
        <v>62</v>
      </c>
      <c r="E504" s="23">
        <v>3126</v>
      </c>
      <c r="F504" s="23">
        <v>163</v>
      </c>
      <c r="G504" s="23">
        <v>238</v>
      </c>
      <c r="H504" s="23">
        <v>205</v>
      </c>
      <c r="I504" s="23" t="s">
        <v>337</v>
      </c>
      <c r="M504" s="23">
        <v>5</v>
      </c>
      <c r="N504" s="42" t="s">
        <v>506</v>
      </c>
      <c r="O504" s="31"/>
      <c r="P504" s="42" t="s">
        <v>505</v>
      </c>
      <c r="Q504" s="31" t="s">
        <v>1567</v>
      </c>
    </row>
    <row r="505" spans="1:17" x14ac:dyDescent="0.45">
      <c r="A505" s="23">
        <v>472</v>
      </c>
      <c r="B505" s="23" t="s">
        <v>163</v>
      </c>
      <c r="C505" s="35" t="s">
        <v>3</v>
      </c>
      <c r="D505" s="38" t="s">
        <v>72</v>
      </c>
      <c r="E505" s="23">
        <v>2692</v>
      </c>
      <c r="F505" s="23">
        <v>181</v>
      </c>
      <c r="G505" s="23">
        <v>185</v>
      </c>
      <c r="H505" s="23">
        <v>222</v>
      </c>
      <c r="I505" s="23" t="s">
        <v>337</v>
      </c>
      <c r="M505" s="23">
        <v>3</v>
      </c>
      <c r="N505" s="38" t="s">
        <v>504</v>
      </c>
      <c r="O505" s="42"/>
      <c r="P505" s="35" t="s">
        <v>2609</v>
      </c>
    </row>
    <row r="506" spans="1:17" x14ac:dyDescent="0.45">
      <c r="A506" s="23">
        <v>473</v>
      </c>
      <c r="B506" s="23" t="s">
        <v>309</v>
      </c>
      <c r="C506" s="35" t="s">
        <v>3</v>
      </c>
      <c r="D506" s="42" t="s">
        <v>62</v>
      </c>
      <c r="E506" s="23">
        <v>3328</v>
      </c>
      <c r="F506" s="23">
        <v>242</v>
      </c>
      <c r="G506" s="23">
        <v>247</v>
      </c>
      <c r="H506" s="23">
        <v>146</v>
      </c>
      <c r="I506" s="23" t="s">
        <v>337</v>
      </c>
      <c r="M506" s="23">
        <v>3</v>
      </c>
      <c r="N506" s="42" t="s">
        <v>503</v>
      </c>
      <c r="O506" s="38"/>
      <c r="P506" s="35" t="s">
        <v>502</v>
      </c>
      <c r="Q506" s="41" t="s">
        <v>282</v>
      </c>
    </row>
    <row r="507" spans="1:17" x14ac:dyDescent="0.45">
      <c r="A507" s="23">
        <v>474</v>
      </c>
      <c r="B507" s="23" t="s">
        <v>501</v>
      </c>
      <c r="C507" s="31" t="s">
        <v>68</v>
      </c>
      <c r="D507" s="42"/>
      <c r="E507" s="23">
        <v>3266</v>
      </c>
      <c r="F507" s="23">
        <v>198</v>
      </c>
      <c r="G507" s="23">
        <v>264</v>
      </c>
      <c r="H507" s="23">
        <v>150</v>
      </c>
      <c r="J507" s="23" t="s">
        <v>337</v>
      </c>
      <c r="M507" s="23">
        <v>3</v>
      </c>
      <c r="N507" s="25" t="s">
        <v>1755</v>
      </c>
      <c r="O507" s="42"/>
      <c r="P507" s="36" t="s">
        <v>3302</v>
      </c>
      <c r="Q507" s="31" t="s">
        <v>3338</v>
      </c>
    </row>
    <row r="508" spans="1:17" x14ac:dyDescent="0.45">
      <c r="A508" s="23">
        <v>475</v>
      </c>
      <c r="B508" s="23" t="s">
        <v>236</v>
      </c>
      <c r="C508" s="28" t="s">
        <v>47</v>
      </c>
      <c r="D508" s="27" t="s">
        <v>18</v>
      </c>
      <c r="E508" s="23">
        <v>3093</v>
      </c>
      <c r="F508" s="23">
        <v>169</v>
      </c>
      <c r="G508" s="23">
        <v>237</v>
      </c>
      <c r="H508" s="23">
        <v>195</v>
      </c>
      <c r="I508" s="23" t="s">
        <v>337</v>
      </c>
      <c r="J508" s="23" t="s">
        <v>337</v>
      </c>
      <c r="M508" s="23">
        <v>5</v>
      </c>
      <c r="N508" s="40" t="s">
        <v>499</v>
      </c>
      <c r="O508" s="25"/>
      <c r="P508" s="28" t="s">
        <v>3303</v>
      </c>
      <c r="Q508" s="31" t="s">
        <v>3379</v>
      </c>
    </row>
    <row r="509" spans="1:17" x14ac:dyDescent="0.45">
      <c r="A509" s="23">
        <v>476</v>
      </c>
      <c r="B509" s="23" t="s">
        <v>209</v>
      </c>
      <c r="C509" s="41" t="s">
        <v>43</v>
      </c>
      <c r="D509" s="26" t="s">
        <v>4</v>
      </c>
      <c r="E509" s="23">
        <v>2080</v>
      </c>
      <c r="F509" s="23">
        <v>155</v>
      </c>
      <c r="G509" s="23">
        <v>135</v>
      </c>
      <c r="H509" s="23">
        <v>275</v>
      </c>
      <c r="M509" s="23">
        <v>3</v>
      </c>
      <c r="N509" s="41" t="s">
        <v>498</v>
      </c>
      <c r="O509" s="40"/>
      <c r="P509" s="25" t="s">
        <v>497</v>
      </c>
    </row>
    <row r="510" spans="1:17" x14ac:dyDescent="0.45">
      <c r="A510" s="23">
        <v>477</v>
      </c>
      <c r="B510" s="23" t="s">
        <v>83</v>
      </c>
      <c r="C510" s="34" t="s">
        <v>16</v>
      </c>
      <c r="D510" s="26"/>
      <c r="E510" s="23">
        <v>2388</v>
      </c>
      <c r="F510" s="23">
        <v>128</v>
      </c>
      <c r="G510" s="23">
        <v>180</v>
      </c>
      <c r="H510" s="23">
        <v>254</v>
      </c>
      <c r="I510" s="23" t="s">
        <v>337</v>
      </c>
      <c r="J510" s="23" t="s">
        <v>337</v>
      </c>
      <c r="M510" s="23">
        <v>3</v>
      </c>
      <c r="N510" s="34" t="s">
        <v>496</v>
      </c>
      <c r="O510" s="41"/>
      <c r="P510" s="29" t="s">
        <v>3304</v>
      </c>
      <c r="Q510" s="31" t="s">
        <v>3338</v>
      </c>
    </row>
    <row r="511" spans="1:17" x14ac:dyDescent="0.45">
      <c r="A511" s="23">
        <v>478</v>
      </c>
      <c r="B511" s="23" t="s">
        <v>495</v>
      </c>
      <c r="C511" s="34" t="s">
        <v>16</v>
      </c>
      <c r="D511" s="42" t="s">
        <v>62</v>
      </c>
      <c r="E511" s="23">
        <v>2040</v>
      </c>
      <c r="F511" s="23">
        <v>172</v>
      </c>
      <c r="G511" s="23">
        <v>171</v>
      </c>
      <c r="H511" s="23">
        <v>150</v>
      </c>
      <c r="I511" s="23" t="s">
        <v>337</v>
      </c>
      <c r="M511" s="23">
        <v>3</v>
      </c>
      <c r="N511" s="42" t="s">
        <v>494</v>
      </c>
      <c r="O511" s="34"/>
      <c r="P511" s="29" t="s">
        <v>493</v>
      </c>
    </row>
    <row r="512" spans="1:17" x14ac:dyDescent="0.45">
      <c r="A512" s="23">
        <v>480</v>
      </c>
      <c r="B512" s="23" t="s">
        <v>492</v>
      </c>
      <c r="C512" s="27" t="s">
        <v>18</v>
      </c>
      <c r="D512" s="42"/>
      <c r="E512" s="23">
        <v>2524</v>
      </c>
      <c r="F512" s="23">
        <v>181</v>
      </c>
      <c r="G512" s="23">
        <v>156</v>
      </c>
      <c r="H512" s="23">
        <v>270</v>
      </c>
      <c r="K512" s="23" t="s">
        <v>337</v>
      </c>
      <c r="M512" s="23">
        <v>20</v>
      </c>
      <c r="N512" s="27" t="s">
        <v>487</v>
      </c>
      <c r="O512" s="42"/>
      <c r="P512" s="25" t="s">
        <v>491</v>
      </c>
    </row>
    <row r="513" spans="1:16" x14ac:dyDescent="0.45">
      <c r="A513" s="23">
        <v>481</v>
      </c>
      <c r="B513" s="23" t="s">
        <v>490</v>
      </c>
      <c r="C513" s="27" t="s">
        <v>18</v>
      </c>
      <c r="E513" s="23">
        <v>3058</v>
      </c>
      <c r="F513" s="23">
        <v>190</v>
      </c>
      <c r="G513" s="23">
        <v>212</v>
      </c>
      <c r="H513" s="23">
        <v>212</v>
      </c>
      <c r="K513" s="23" t="s">
        <v>337</v>
      </c>
      <c r="M513" s="23">
        <v>20</v>
      </c>
      <c r="N513" s="27" t="s">
        <v>487</v>
      </c>
      <c r="O513" s="27"/>
      <c r="P513" s="31" t="s">
        <v>489</v>
      </c>
    </row>
    <row r="514" spans="1:16" x14ac:dyDescent="0.45">
      <c r="A514" s="23">
        <v>482</v>
      </c>
      <c r="B514" s="23" t="s">
        <v>488</v>
      </c>
      <c r="C514" s="27" t="s">
        <v>18</v>
      </c>
      <c r="E514" s="23">
        <v>3210</v>
      </c>
      <c r="F514" s="23">
        <v>181</v>
      </c>
      <c r="G514" s="23">
        <v>270</v>
      </c>
      <c r="H514" s="23">
        <v>151</v>
      </c>
      <c r="K514" s="23" t="s">
        <v>337</v>
      </c>
      <c r="M514" s="23">
        <v>20</v>
      </c>
      <c r="N514" s="27" t="s">
        <v>487</v>
      </c>
      <c r="O514" s="27"/>
      <c r="P514" s="31" t="s">
        <v>486</v>
      </c>
    </row>
    <row r="515" spans="1:16" x14ac:dyDescent="0.45">
      <c r="A515" s="23">
        <v>483</v>
      </c>
      <c r="B515" s="23" t="s">
        <v>485</v>
      </c>
      <c r="C515" s="26" t="s">
        <v>4</v>
      </c>
      <c r="D515" s="30" t="s">
        <v>90</v>
      </c>
      <c r="E515" s="23">
        <v>4038</v>
      </c>
      <c r="F515" s="23">
        <v>205</v>
      </c>
      <c r="G515" s="23">
        <v>275</v>
      </c>
      <c r="H515" s="23">
        <v>211</v>
      </c>
      <c r="M515" s="23">
        <v>20</v>
      </c>
      <c r="N515" s="26" t="s">
        <v>484</v>
      </c>
      <c r="O515" s="27"/>
      <c r="P515" s="26" t="s">
        <v>483</v>
      </c>
    </row>
    <row r="516" spans="1:16" x14ac:dyDescent="0.45">
      <c r="A516" s="23">
        <v>484</v>
      </c>
      <c r="B516" s="23" t="s">
        <v>482</v>
      </c>
      <c r="C516" s="39" t="s">
        <v>111</v>
      </c>
      <c r="D516" s="30" t="s">
        <v>90</v>
      </c>
      <c r="E516" s="23">
        <v>3991</v>
      </c>
      <c r="F516" s="23">
        <v>189</v>
      </c>
      <c r="G516" s="23">
        <v>280</v>
      </c>
      <c r="H516" s="23">
        <v>215</v>
      </c>
      <c r="M516" s="23">
        <v>20</v>
      </c>
      <c r="N516" s="30" t="s">
        <v>481</v>
      </c>
      <c r="O516" s="26"/>
      <c r="P516" s="33" t="s">
        <v>480</v>
      </c>
    </row>
    <row r="517" spans="1:16" x14ac:dyDescent="0.45">
      <c r="A517" s="23">
        <v>485</v>
      </c>
      <c r="B517" s="23" t="s">
        <v>479</v>
      </c>
      <c r="C517" s="26" t="s">
        <v>4</v>
      </c>
      <c r="D517" s="33" t="s">
        <v>22</v>
      </c>
      <c r="E517" s="23">
        <v>3754</v>
      </c>
      <c r="F517" s="23">
        <v>209</v>
      </c>
      <c r="G517" s="23">
        <v>251</v>
      </c>
      <c r="H517" s="23">
        <v>213</v>
      </c>
      <c r="I517" s="23" t="s">
        <v>337</v>
      </c>
      <c r="M517" s="23">
        <v>20</v>
      </c>
      <c r="N517" s="33" t="s">
        <v>478</v>
      </c>
      <c r="O517" s="30"/>
      <c r="P517" s="26" t="s">
        <v>1765</v>
      </c>
    </row>
    <row r="518" spans="1:16" x14ac:dyDescent="0.45">
      <c r="A518" s="23">
        <v>486</v>
      </c>
      <c r="B518" s="23" t="s">
        <v>294</v>
      </c>
      <c r="C518" s="31" t="s">
        <v>68</v>
      </c>
      <c r="D518" s="33"/>
      <c r="E518" s="23">
        <v>4346</v>
      </c>
      <c r="F518" s="23">
        <v>221</v>
      </c>
      <c r="G518" s="23">
        <v>287</v>
      </c>
      <c r="H518" s="23">
        <v>210</v>
      </c>
      <c r="M518" s="23">
        <v>20</v>
      </c>
      <c r="N518" s="27" t="s">
        <v>477</v>
      </c>
      <c r="O518" s="33"/>
      <c r="P518" s="25" t="s">
        <v>476</v>
      </c>
    </row>
    <row r="519" spans="1:16" x14ac:dyDescent="0.45">
      <c r="A519" s="23">
        <v>487</v>
      </c>
      <c r="B519" s="23" t="s">
        <v>263</v>
      </c>
      <c r="C519" s="34" t="s">
        <v>16</v>
      </c>
      <c r="D519" s="30" t="s">
        <v>90</v>
      </c>
      <c r="E519" s="23">
        <v>3379</v>
      </c>
      <c r="F519" s="23">
        <v>284</v>
      </c>
      <c r="G519" s="23">
        <v>187</v>
      </c>
      <c r="H519" s="23">
        <v>225</v>
      </c>
      <c r="I519" s="23" t="s">
        <v>337</v>
      </c>
      <c r="M519" s="23">
        <v>20</v>
      </c>
      <c r="N519" s="34" t="s">
        <v>472</v>
      </c>
      <c r="O519" s="27"/>
      <c r="P519" s="34" t="s">
        <v>471</v>
      </c>
    </row>
    <row r="520" spans="1:16" x14ac:dyDescent="0.45">
      <c r="A520" s="23">
        <v>487</v>
      </c>
      <c r="B520" s="23" t="s">
        <v>475</v>
      </c>
      <c r="C520" s="34" t="s">
        <v>16</v>
      </c>
      <c r="D520" s="30" t="s">
        <v>90</v>
      </c>
      <c r="E520" s="23">
        <v>3683</v>
      </c>
      <c r="F520" s="23">
        <v>284</v>
      </c>
      <c r="G520" s="23">
        <v>225</v>
      </c>
      <c r="H520" s="23">
        <v>187</v>
      </c>
      <c r="M520" s="23">
        <v>20</v>
      </c>
      <c r="N520" s="34" t="s">
        <v>474</v>
      </c>
      <c r="O520" s="34"/>
      <c r="P520" s="34" t="s">
        <v>473</v>
      </c>
    </row>
    <row r="521" spans="1:16" x14ac:dyDescent="0.45">
      <c r="A521" s="23">
        <v>488</v>
      </c>
      <c r="B521" s="23" t="s">
        <v>470</v>
      </c>
      <c r="C521" s="27" t="s">
        <v>18</v>
      </c>
      <c r="D521" s="30"/>
      <c r="E521" s="23">
        <v>2857</v>
      </c>
      <c r="F521" s="23">
        <v>260</v>
      </c>
      <c r="G521" s="23">
        <v>152</v>
      </c>
      <c r="H521" s="23">
        <v>258</v>
      </c>
      <c r="I521" s="23" t="s">
        <v>337</v>
      </c>
      <c r="M521" s="23">
        <v>20</v>
      </c>
      <c r="N521" s="27" t="s">
        <v>469</v>
      </c>
      <c r="O521" s="34"/>
      <c r="P521" s="42" t="s">
        <v>468</v>
      </c>
    </row>
    <row r="522" spans="1:16" x14ac:dyDescent="0.45">
      <c r="A522" s="23">
        <v>491</v>
      </c>
      <c r="B522" s="23" t="s">
        <v>290</v>
      </c>
      <c r="C522" s="29" t="s">
        <v>78</v>
      </c>
      <c r="E522" s="23">
        <v>3739</v>
      </c>
      <c r="F522" s="23">
        <v>172</v>
      </c>
      <c r="G522" s="23">
        <v>285</v>
      </c>
      <c r="H522" s="23">
        <v>198</v>
      </c>
      <c r="M522" s="23">
        <v>20</v>
      </c>
      <c r="N522" s="29" t="s">
        <v>467</v>
      </c>
      <c r="O522" s="27"/>
      <c r="P522" s="29" t="s">
        <v>466</v>
      </c>
    </row>
    <row r="523" spans="1:16" x14ac:dyDescent="0.45">
      <c r="A523" s="23">
        <v>495</v>
      </c>
      <c r="B523" s="23" t="s">
        <v>465</v>
      </c>
      <c r="C523" s="36" t="s">
        <v>12</v>
      </c>
      <c r="E523" s="23">
        <v>849</v>
      </c>
      <c r="F523" s="23">
        <v>128</v>
      </c>
      <c r="G523" s="23">
        <v>88</v>
      </c>
      <c r="H523" s="23">
        <v>107</v>
      </c>
      <c r="K523" s="23" t="s">
        <v>337</v>
      </c>
      <c r="L523" s="23">
        <v>2</v>
      </c>
      <c r="M523" s="23">
        <v>3</v>
      </c>
      <c r="N523" s="31" t="s">
        <v>464</v>
      </c>
      <c r="O523" s="29"/>
      <c r="P523" s="36" t="s">
        <v>463</v>
      </c>
    </row>
    <row r="524" spans="1:16" x14ac:dyDescent="0.45">
      <c r="A524" s="23">
        <v>496</v>
      </c>
      <c r="B524" s="23" t="s">
        <v>462</v>
      </c>
      <c r="C524" s="36" t="s">
        <v>12</v>
      </c>
      <c r="E524" s="23">
        <v>1441</v>
      </c>
      <c r="F524" s="23">
        <v>155</v>
      </c>
      <c r="G524" s="23">
        <v>122</v>
      </c>
      <c r="H524" s="23">
        <v>152</v>
      </c>
      <c r="K524" s="23" t="s">
        <v>337</v>
      </c>
      <c r="M524" s="23">
        <v>3</v>
      </c>
      <c r="N524" s="26" t="s">
        <v>460</v>
      </c>
      <c r="O524" s="31"/>
      <c r="P524" s="36" t="s">
        <v>461</v>
      </c>
    </row>
    <row r="525" spans="1:16" x14ac:dyDescent="0.45">
      <c r="A525" s="23">
        <v>497</v>
      </c>
      <c r="B525" s="23" t="s">
        <v>25</v>
      </c>
      <c r="C525" s="36" t="s">
        <v>12</v>
      </c>
      <c r="E525" s="23">
        <v>2277</v>
      </c>
      <c r="F525" s="23">
        <v>181</v>
      </c>
      <c r="G525" s="23">
        <v>161</v>
      </c>
      <c r="H525" s="23">
        <v>204</v>
      </c>
      <c r="M525" s="23">
        <v>3</v>
      </c>
      <c r="N525" s="26" t="s">
        <v>460</v>
      </c>
      <c r="O525" s="26"/>
      <c r="P525" s="36" t="s">
        <v>459</v>
      </c>
    </row>
    <row r="526" spans="1:16" x14ac:dyDescent="0.45">
      <c r="A526" s="23">
        <v>498</v>
      </c>
      <c r="B526" s="23" t="s">
        <v>458</v>
      </c>
      <c r="C526" s="33" t="s">
        <v>22</v>
      </c>
      <c r="E526" s="23">
        <v>1083</v>
      </c>
      <c r="F526" s="23">
        <v>163</v>
      </c>
      <c r="G526" s="23">
        <v>115</v>
      </c>
      <c r="H526" s="23">
        <v>85</v>
      </c>
      <c r="K526" s="23" t="s">
        <v>337</v>
      </c>
      <c r="L526" s="23">
        <v>2</v>
      </c>
      <c r="M526" s="23">
        <v>3</v>
      </c>
      <c r="N526" s="31" t="s">
        <v>455</v>
      </c>
      <c r="O526" s="26"/>
      <c r="P526" s="33" t="s">
        <v>457</v>
      </c>
    </row>
    <row r="527" spans="1:16" x14ac:dyDescent="0.45">
      <c r="A527" s="23">
        <v>499</v>
      </c>
      <c r="B527" s="23" t="s">
        <v>456</v>
      </c>
      <c r="C527" s="28" t="s">
        <v>47</v>
      </c>
      <c r="D527" s="33" t="s">
        <v>22</v>
      </c>
      <c r="E527" s="23">
        <v>1924</v>
      </c>
      <c r="F527" s="23">
        <v>207</v>
      </c>
      <c r="G527" s="23">
        <v>173</v>
      </c>
      <c r="H527" s="23">
        <v>106</v>
      </c>
      <c r="K527" s="23" t="s">
        <v>337</v>
      </c>
      <c r="M527" s="23">
        <v>3</v>
      </c>
      <c r="N527" s="31" t="s">
        <v>455</v>
      </c>
      <c r="O527" s="31"/>
      <c r="P527" s="33" t="s">
        <v>454</v>
      </c>
    </row>
    <row r="528" spans="1:16" x14ac:dyDescent="0.45">
      <c r="A528" s="23">
        <v>500</v>
      </c>
      <c r="B528" s="23" t="s">
        <v>227</v>
      </c>
      <c r="C528" s="28" t="s">
        <v>47</v>
      </c>
      <c r="D528" s="33" t="s">
        <v>22</v>
      </c>
      <c r="E528" s="23">
        <v>2982</v>
      </c>
      <c r="F528" s="23">
        <v>242</v>
      </c>
      <c r="G528" s="23">
        <v>235</v>
      </c>
      <c r="H528" s="23">
        <v>127</v>
      </c>
      <c r="M528" s="23">
        <v>3</v>
      </c>
      <c r="N528" s="28" t="s">
        <v>453</v>
      </c>
      <c r="O528" s="31"/>
      <c r="P528" s="41" t="s">
        <v>452</v>
      </c>
    </row>
    <row r="529" spans="1:16" x14ac:dyDescent="0.45">
      <c r="A529" s="23">
        <v>501</v>
      </c>
      <c r="B529" s="23" t="s">
        <v>451</v>
      </c>
      <c r="C529" s="39" t="s">
        <v>111</v>
      </c>
      <c r="D529" s="33"/>
      <c r="E529" s="23">
        <v>1046</v>
      </c>
      <c r="F529" s="23">
        <v>146</v>
      </c>
      <c r="G529" s="23">
        <v>117</v>
      </c>
      <c r="H529" s="23">
        <v>85</v>
      </c>
      <c r="K529" s="23" t="s">
        <v>337</v>
      </c>
      <c r="L529" s="23">
        <v>2</v>
      </c>
      <c r="M529" s="23">
        <v>3</v>
      </c>
      <c r="N529" s="31" t="s">
        <v>450</v>
      </c>
      <c r="O529" s="28"/>
      <c r="P529" s="39" t="s">
        <v>449</v>
      </c>
    </row>
    <row r="530" spans="1:16" x14ac:dyDescent="0.45">
      <c r="A530" s="23">
        <v>502</v>
      </c>
      <c r="B530" s="23" t="s">
        <v>448</v>
      </c>
      <c r="C530" s="39" t="s">
        <v>111</v>
      </c>
      <c r="E530" s="23">
        <v>1741</v>
      </c>
      <c r="F530" s="23">
        <v>181</v>
      </c>
      <c r="G530" s="23">
        <v>159</v>
      </c>
      <c r="H530" s="23">
        <v>116</v>
      </c>
      <c r="K530" s="23" t="s">
        <v>337</v>
      </c>
      <c r="M530" s="23">
        <v>3</v>
      </c>
      <c r="N530" s="39" t="s">
        <v>447</v>
      </c>
      <c r="O530" s="31"/>
      <c r="P530" s="39" t="s">
        <v>446</v>
      </c>
    </row>
    <row r="531" spans="1:16" x14ac:dyDescent="0.45">
      <c r="A531" s="23">
        <v>503</v>
      </c>
      <c r="B531" s="23" t="s">
        <v>445</v>
      </c>
      <c r="C531" s="39" t="s">
        <v>111</v>
      </c>
      <c r="E531" s="23">
        <v>2826</v>
      </c>
      <c r="F531" s="23">
        <v>216</v>
      </c>
      <c r="G531" s="23">
        <v>212</v>
      </c>
      <c r="H531" s="23">
        <v>157</v>
      </c>
      <c r="M531" s="23">
        <v>3</v>
      </c>
      <c r="N531" s="39" t="s">
        <v>444</v>
      </c>
      <c r="O531" s="39"/>
      <c r="P531" s="39" t="s">
        <v>443</v>
      </c>
    </row>
    <row r="532" spans="1:16" x14ac:dyDescent="0.45">
      <c r="A532" s="23">
        <v>504</v>
      </c>
      <c r="B532" s="23" t="s">
        <v>442</v>
      </c>
      <c r="C532" s="31" t="s">
        <v>68</v>
      </c>
      <c r="E532" s="23">
        <v>791</v>
      </c>
      <c r="F532" s="23">
        <v>128</v>
      </c>
      <c r="G532" s="23">
        <v>98</v>
      </c>
      <c r="H532" s="23">
        <v>73</v>
      </c>
      <c r="I532" s="23" t="s">
        <v>337</v>
      </c>
      <c r="K532" s="23" t="s">
        <v>337</v>
      </c>
      <c r="L532" s="23">
        <v>2</v>
      </c>
      <c r="M532" s="23">
        <v>1</v>
      </c>
      <c r="N532" s="29" t="s">
        <v>441</v>
      </c>
      <c r="O532" s="39"/>
      <c r="P532" s="35" t="s">
        <v>440</v>
      </c>
    </row>
    <row r="533" spans="1:16" x14ac:dyDescent="0.45">
      <c r="A533" s="23">
        <v>505</v>
      </c>
      <c r="B533" s="23" t="s">
        <v>67</v>
      </c>
      <c r="C533" s="31" t="s">
        <v>68</v>
      </c>
      <c r="E533" s="23">
        <v>1819</v>
      </c>
      <c r="F533" s="23">
        <v>155</v>
      </c>
      <c r="G533" s="23">
        <v>165</v>
      </c>
      <c r="H533" s="23">
        <v>139</v>
      </c>
      <c r="I533" s="23" t="s">
        <v>337</v>
      </c>
      <c r="K533" s="23" t="s">
        <v>337</v>
      </c>
      <c r="M533" s="23">
        <v>1</v>
      </c>
      <c r="N533" s="29" t="s">
        <v>439</v>
      </c>
      <c r="O533" s="29"/>
      <c r="P533" s="29" t="s">
        <v>438</v>
      </c>
    </row>
    <row r="534" spans="1:16" x14ac:dyDescent="0.45">
      <c r="A534" s="23">
        <v>506</v>
      </c>
      <c r="B534" s="23" t="s">
        <v>437</v>
      </c>
      <c r="C534" s="31" t="s">
        <v>68</v>
      </c>
      <c r="E534" s="23">
        <v>915</v>
      </c>
      <c r="F534" s="23">
        <v>128</v>
      </c>
      <c r="G534" s="23">
        <v>107</v>
      </c>
      <c r="H534" s="23">
        <v>86</v>
      </c>
      <c r="I534" s="23" t="s">
        <v>337</v>
      </c>
      <c r="K534" s="23" t="s">
        <v>337</v>
      </c>
      <c r="L534" s="23">
        <v>2</v>
      </c>
      <c r="M534" s="23">
        <v>1</v>
      </c>
      <c r="N534" s="31" t="s">
        <v>436</v>
      </c>
      <c r="O534" s="29"/>
      <c r="P534" s="25" t="s">
        <v>435</v>
      </c>
    </row>
    <row r="535" spans="1:16" x14ac:dyDescent="0.45">
      <c r="A535" s="23">
        <v>507</v>
      </c>
      <c r="B535" s="23" t="s">
        <v>434</v>
      </c>
      <c r="C535" s="31" t="s">
        <v>68</v>
      </c>
      <c r="E535" s="23">
        <v>1583</v>
      </c>
      <c r="F535" s="23">
        <v>163</v>
      </c>
      <c r="G535" s="23">
        <v>145</v>
      </c>
      <c r="H535" s="23">
        <v>126</v>
      </c>
      <c r="I535" s="23" t="s">
        <v>337</v>
      </c>
      <c r="K535" s="23" t="s">
        <v>337</v>
      </c>
      <c r="M535" s="23">
        <v>1</v>
      </c>
      <c r="N535" s="34" t="s">
        <v>432</v>
      </c>
      <c r="O535" s="31"/>
      <c r="P535" s="25" t="s">
        <v>433</v>
      </c>
    </row>
    <row r="536" spans="1:16" x14ac:dyDescent="0.45">
      <c r="A536" s="23">
        <v>508</v>
      </c>
      <c r="B536" s="23" t="s">
        <v>174</v>
      </c>
      <c r="C536" s="31" t="s">
        <v>68</v>
      </c>
      <c r="E536" s="23">
        <v>2827</v>
      </c>
      <c r="F536" s="23">
        <v>198</v>
      </c>
      <c r="G536" s="23">
        <v>206</v>
      </c>
      <c r="H536" s="23">
        <v>182</v>
      </c>
      <c r="I536" s="23" t="s">
        <v>337</v>
      </c>
      <c r="M536" s="23">
        <v>1</v>
      </c>
      <c r="N536" s="42" t="s">
        <v>1757</v>
      </c>
      <c r="O536" s="34"/>
      <c r="P536" s="29" t="s">
        <v>431</v>
      </c>
    </row>
    <row r="537" spans="1:16" x14ac:dyDescent="0.45">
      <c r="A537" s="23">
        <v>509</v>
      </c>
      <c r="B537" s="23" t="s">
        <v>430</v>
      </c>
      <c r="C537" s="29" t="s">
        <v>78</v>
      </c>
      <c r="E537" s="23">
        <v>772</v>
      </c>
      <c r="F537" s="23">
        <v>121</v>
      </c>
      <c r="G537" s="23">
        <v>98</v>
      </c>
      <c r="H537" s="23">
        <v>73</v>
      </c>
      <c r="K537" s="23" t="s">
        <v>337</v>
      </c>
      <c r="L537" s="23">
        <v>2</v>
      </c>
      <c r="M537" s="23">
        <v>1</v>
      </c>
      <c r="N537" s="31" t="s">
        <v>429</v>
      </c>
      <c r="O537" s="42"/>
      <c r="P537" s="29" t="s">
        <v>428</v>
      </c>
    </row>
    <row r="538" spans="1:16" x14ac:dyDescent="0.45">
      <c r="A538" s="23">
        <v>510</v>
      </c>
      <c r="B538" s="23" t="s">
        <v>162</v>
      </c>
      <c r="C538" s="29" t="s">
        <v>78</v>
      </c>
      <c r="E538" s="23">
        <v>1846</v>
      </c>
      <c r="F538" s="23">
        <v>162</v>
      </c>
      <c r="G538" s="23">
        <v>187</v>
      </c>
      <c r="H538" s="23">
        <v>106</v>
      </c>
      <c r="K538" s="23" t="s">
        <v>337</v>
      </c>
      <c r="M538" s="23">
        <v>1</v>
      </c>
      <c r="N538" s="40" t="s">
        <v>427</v>
      </c>
      <c r="O538" s="31"/>
      <c r="P538" s="29" t="s">
        <v>426</v>
      </c>
    </row>
    <row r="539" spans="1:16" x14ac:dyDescent="0.45">
      <c r="A539" s="23">
        <v>511</v>
      </c>
      <c r="B539" s="23" t="s">
        <v>425</v>
      </c>
      <c r="C539" s="36" t="s">
        <v>12</v>
      </c>
      <c r="E539" s="23">
        <v>956</v>
      </c>
      <c r="F539" s="23">
        <v>137</v>
      </c>
      <c r="G539" s="23">
        <v>104</v>
      </c>
      <c r="H539" s="23">
        <v>94</v>
      </c>
      <c r="K539" s="23" t="s">
        <v>337</v>
      </c>
      <c r="L539" s="23">
        <v>5</v>
      </c>
      <c r="M539" s="23">
        <v>3</v>
      </c>
      <c r="N539" s="36" t="s">
        <v>424</v>
      </c>
      <c r="O539" s="40"/>
      <c r="P539" s="36" t="s">
        <v>423</v>
      </c>
    </row>
    <row r="540" spans="1:16" x14ac:dyDescent="0.45">
      <c r="A540" s="23">
        <v>512</v>
      </c>
      <c r="B540" s="23" t="s">
        <v>422</v>
      </c>
      <c r="C540" s="36" t="s">
        <v>12</v>
      </c>
      <c r="E540" s="23">
        <v>2350</v>
      </c>
      <c r="F540" s="23">
        <v>181</v>
      </c>
      <c r="G540" s="23">
        <v>206</v>
      </c>
      <c r="H540" s="23">
        <v>133</v>
      </c>
      <c r="M540" s="23">
        <v>3</v>
      </c>
      <c r="N540" s="29" t="s">
        <v>421</v>
      </c>
      <c r="O540" s="36"/>
      <c r="P540" s="29" t="s">
        <v>420</v>
      </c>
    </row>
    <row r="541" spans="1:16" x14ac:dyDescent="0.45">
      <c r="A541" s="23">
        <v>513</v>
      </c>
      <c r="B541" s="23" t="s">
        <v>419</v>
      </c>
      <c r="C541" s="33" t="s">
        <v>22</v>
      </c>
      <c r="E541" s="23">
        <v>956</v>
      </c>
      <c r="F541" s="23">
        <v>137</v>
      </c>
      <c r="G541" s="23">
        <v>104</v>
      </c>
      <c r="H541" s="23">
        <v>94</v>
      </c>
      <c r="K541" s="23" t="s">
        <v>337</v>
      </c>
      <c r="L541" s="23">
        <v>5</v>
      </c>
      <c r="M541" s="23">
        <v>3</v>
      </c>
      <c r="N541" s="31" t="s">
        <v>418</v>
      </c>
      <c r="O541" s="29"/>
      <c r="P541" s="29" t="s">
        <v>417</v>
      </c>
    </row>
    <row r="542" spans="1:16" x14ac:dyDescent="0.45">
      <c r="A542" s="23">
        <v>514</v>
      </c>
      <c r="B542" s="23" t="s">
        <v>416</v>
      </c>
      <c r="C542" s="33" t="s">
        <v>22</v>
      </c>
      <c r="E542" s="23">
        <v>2350</v>
      </c>
      <c r="F542" s="23">
        <v>181</v>
      </c>
      <c r="G542" s="23">
        <v>206</v>
      </c>
      <c r="H542" s="23">
        <v>133</v>
      </c>
      <c r="M542" s="23">
        <v>3</v>
      </c>
      <c r="N542" s="29" t="s">
        <v>415</v>
      </c>
      <c r="O542" s="31"/>
      <c r="P542" s="33" t="s">
        <v>414</v>
      </c>
    </row>
    <row r="543" spans="1:16" x14ac:dyDescent="0.45">
      <c r="A543" s="23">
        <v>515</v>
      </c>
      <c r="B543" s="23" t="s">
        <v>413</v>
      </c>
      <c r="C543" s="39" t="s">
        <v>111</v>
      </c>
      <c r="E543" s="23">
        <v>956</v>
      </c>
      <c r="F543" s="23">
        <v>137</v>
      </c>
      <c r="G543" s="23">
        <v>104</v>
      </c>
      <c r="H543" s="23">
        <v>94</v>
      </c>
      <c r="K543" s="23" t="s">
        <v>337</v>
      </c>
      <c r="L543" s="23">
        <v>5</v>
      </c>
      <c r="M543" s="23">
        <v>3</v>
      </c>
      <c r="N543" s="31" t="s">
        <v>412</v>
      </c>
      <c r="O543" s="29"/>
      <c r="P543" s="29" t="s">
        <v>411</v>
      </c>
    </row>
    <row r="544" spans="1:16" x14ac:dyDescent="0.45">
      <c r="A544" s="23">
        <v>516</v>
      </c>
      <c r="B544" s="23" t="s">
        <v>410</v>
      </c>
      <c r="C544" s="39" t="s">
        <v>111</v>
      </c>
      <c r="E544" s="23">
        <v>2350</v>
      </c>
      <c r="F544" s="23">
        <v>181</v>
      </c>
      <c r="G544" s="23">
        <v>206</v>
      </c>
      <c r="H544" s="23">
        <v>133</v>
      </c>
      <c r="M544" s="23">
        <v>3</v>
      </c>
      <c r="N544" s="29" t="s">
        <v>409</v>
      </c>
      <c r="O544" s="31"/>
      <c r="P544" s="29" t="s">
        <v>408</v>
      </c>
    </row>
    <row r="545" spans="1:17" x14ac:dyDescent="0.45">
      <c r="A545" s="23">
        <v>519</v>
      </c>
      <c r="B545" s="23" t="s">
        <v>407</v>
      </c>
      <c r="C545" s="31" t="s">
        <v>68</v>
      </c>
      <c r="D545" s="38" t="s">
        <v>72</v>
      </c>
      <c r="E545" s="23">
        <v>848</v>
      </c>
      <c r="F545" s="23">
        <v>137</v>
      </c>
      <c r="G545" s="23">
        <v>98</v>
      </c>
      <c r="H545" s="23">
        <v>80</v>
      </c>
      <c r="K545" s="23" t="s">
        <v>337</v>
      </c>
      <c r="M545" s="23">
        <v>1</v>
      </c>
      <c r="N545" s="38" t="s">
        <v>406</v>
      </c>
      <c r="O545" s="29"/>
      <c r="P545" s="38" t="s">
        <v>405</v>
      </c>
    </row>
    <row r="546" spans="1:17" x14ac:dyDescent="0.45">
      <c r="A546" s="23">
        <v>520</v>
      </c>
      <c r="B546" s="23" t="s">
        <v>404</v>
      </c>
      <c r="C546" s="31" t="s">
        <v>68</v>
      </c>
      <c r="D546" s="38" t="s">
        <v>72</v>
      </c>
      <c r="E546" s="23">
        <v>1442</v>
      </c>
      <c r="F546" s="23">
        <v>158</v>
      </c>
      <c r="G546" s="23">
        <v>144</v>
      </c>
      <c r="H546" s="23">
        <v>107</v>
      </c>
      <c r="K546" s="23" t="s">
        <v>337</v>
      </c>
      <c r="M546" s="23">
        <v>1</v>
      </c>
      <c r="N546" s="38" t="s">
        <v>402</v>
      </c>
      <c r="O546" s="38"/>
      <c r="P546" s="38" t="s">
        <v>403</v>
      </c>
    </row>
    <row r="547" spans="1:17" x14ac:dyDescent="0.45">
      <c r="A547" s="23">
        <v>521</v>
      </c>
      <c r="B547" s="23" t="s">
        <v>279</v>
      </c>
      <c r="C547" s="31" t="s">
        <v>68</v>
      </c>
      <c r="D547" s="38" t="s">
        <v>72</v>
      </c>
      <c r="E547" s="23">
        <v>2734</v>
      </c>
      <c r="F547" s="23">
        <v>190</v>
      </c>
      <c r="G547" s="23">
        <v>226</v>
      </c>
      <c r="H547" s="23">
        <v>146</v>
      </c>
      <c r="K547" s="23" t="s">
        <v>337</v>
      </c>
      <c r="M547" s="23">
        <v>1</v>
      </c>
      <c r="N547" s="38" t="s">
        <v>402</v>
      </c>
      <c r="O547" s="38"/>
      <c r="P547" s="38" t="s">
        <v>401</v>
      </c>
    </row>
    <row r="548" spans="1:17" x14ac:dyDescent="0.45">
      <c r="A548" s="23">
        <v>522</v>
      </c>
      <c r="B548" s="23" t="s">
        <v>400</v>
      </c>
      <c r="C548" s="25" t="s">
        <v>8</v>
      </c>
      <c r="D548" s="38"/>
      <c r="E548" s="23">
        <v>882</v>
      </c>
      <c r="F548" s="23">
        <v>128</v>
      </c>
      <c r="G548" s="23">
        <v>118</v>
      </c>
      <c r="H548" s="23">
        <v>64</v>
      </c>
      <c r="K548" s="23" t="s">
        <v>337</v>
      </c>
      <c r="M548" s="23">
        <v>3</v>
      </c>
      <c r="N548" s="25" t="s">
        <v>399</v>
      </c>
      <c r="O548" s="38"/>
      <c r="P548" s="25" t="s">
        <v>396</v>
      </c>
    </row>
    <row r="549" spans="1:17" x14ac:dyDescent="0.45">
      <c r="A549" s="23">
        <v>523</v>
      </c>
      <c r="B549" s="23" t="s">
        <v>398</v>
      </c>
      <c r="C549" s="25" t="s">
        <v>8</v>
      </c>
      <c r="E549" s="23">
        <v>2428</v>
      </c>
      <c r="F549" s="23">
        <v>181</v>
      </c>
      <c r="G549" s="23">
        <v>211</v>
      </c>
      <c r="H549" s="23">
        <v>136</v>
      </c>
      <c r="K549" s="23" t="s">
        <v>337</v>
      </c>
      <c r="M549" s="23">
        <v>3</v>
      </c>
      <c r="N549" s="28" t="s">
        <v>397</v>
      </c>
      <c r="O549" s="25"/>
      <c r="P549" s="25" t="s">
        <v>396</v>
      </c>
      <c r="Q549" s="25" t="s">
        <v>94</v>
      </c>
    </row>
    <row r="550" spans="1:17" x14ac:dyDescent="0.45">
      <c r="A550" s="23">
        <v>524</v>
      </c>
      <c r="B550" s="23" t="s">
        <v>3146</v>
      </c>
      <c r="C550" s="41" t="s">
        <v>43</v>
      </c>
      <c r="E550" s="23">
        <v>1205</v>
      </c>
      <c r="F550" s="23">
        <v>146</v>
      </c>
      <c r="G550" s="23">
        <v>121</v>
      </c>
      <c r="H550" s="23">
        <v>110</v>
      </c>
      <c r="K550" s="23" t="s">
        <v>337</v>
      </c>
      <c r="L550" s="23">
        <v>5</v>
      </c>
      <c r="M550" s="23">
        <v>3</v>
      </c>
      <c r="N550" s="41" t="s">
        <v>3180</v>
      </c>
      <c r="O550" s="28"/>
      <c r="P550" s="35" t="s">
        <v>3305</v>
      </c>
    </row>
    <row r="551" spans="1:17" x14ac:dyDescent="0.45">
      <c r="A551" s="23">
        <v>525</v>
      </c>
      <c r="B551" s="23" t="s">
        <v>3147</v>
      </c>
      <c r="C551" s="41" t="s">
        <v>43</v>
      </c>
      <c r="E551" s="23">
        <v>2029</v>
      </c>
      <c r="F551" s="23">
        <v>172</v>
      </c>
      <c r="G551" s="23">
        <v>174</v>
      </c>
      <c r="H551" s="23">
        <v>143</v>
      </c>
      <c r="M551" s="23">
        <v>3</v>
      </c>
      <c r="N551" s="41" t="s">
        <v>519</v>
      </c>
      <c r="O551" s="35"/>
      <c r="P551" s="41" t="s">
        <v>3306</v>
      </c>
    </row>
    <row r="552" spans="1:17" x14ac:dyDescent="0.45">
      <c r="A552" s="23">
        <v>526</v>
      </c>
      <c r="B552" s="23" t="s">
        <v>3148</v>
      </c>
      <c r="C552" s="41" t="s">
        <v>43</v>
      </c>
      <c r="D552" s="26"/>
      <c r="E552" s="23">
        <v>3228</v>
      </c>
      <c r="F552" s="23">
        <v>198</v>
      </c>
      <c r="G552" s="23">
        <v>226</v>
      </c>
      <c r="H552" s="23">
        <v>201</v>
      </c>
      <c r="M552" s="23">
        <v>3</v>
      </c>
      <c r="N552" s="41" t="s">
        <v>519</v>
      </c>
      <c r="O552" s="35"/>
      <c r="P552" s="41" t="s">
        <v>3307</v>
      </c>
    </row>
    <row r="553" spans="1:17" x14ac:dyDescent="0.45">
      <c r="A553" s="23">
        <v>527</v>
      </c>
      <c r="B553" s="23" t="s">
        <v>3760</v>
      </c>
      <c r="C553" s="38" t="s">
        <v>72</v>
      </c>
      <c r="D553" s="27" t="s">
        <v>18</v>
      </c>
      <c r="E553" s="23">
        <v>1016</v>
      </c>
      <c r="F553" s="23">
        <v>163</v>
      </c>
      <c r="G553" s="23">
        <v>107</v>
      </c>
      <c r="H553" s="23">
        <v>85</v>
      </c>
      <c r="M553" s="23">
        <v>1</v>
      </c>
      <c r="N553" s="38" t="s">
        <v>3773</v>
      </c>
      <c r="P553" s="38" t="s">
        <v>3781</v>
      </c>
    </row>
    <row r="554" spans="1:17" x14ac:dyDescent="0.45">
      <c r="A554" s="23">
        <v>529</v>
      </c>
      <c r="B554" s="23" t="s">
        <v>395</v>
      </c>
      <c r="C554" s="35" t="s">
        <v>3</v>
      </c>
      <c r="E554" s="23">
        <v>1376</v>
      </c>
      <c r="F554" s="23">
        <v>155</v>
      </c>
      <c r="G554" s="23">
        <v>154</v>
      </c>
      <c r="H554" s="23">
        <v>85</v>
      </c>
      <c r="K554" s="23" t="s">
        <v>337</v>
      </c>
      <c r="M554" s="23">
        <v>3</v>
      </c>
      <c r="N554" s="35" t="s">
        <v>394</v>
      </c>
      <c r="O554" s="34"/>
      <c r="P554" s="35" t="s">
        <v>393</v>
      </c>
    </row>
    <row r="555" spans="1:17" x14ac:dyDescent="0.45">
      <c r="A555" s="23">
        <v>530</v>
      </c>
      <c r="B555" s="23" t="s">
        <v>392</v>
      </c>
      <c r="C555" s="35" t="s">
        <v>3</v>
      </c>
      <c r="D555" s="26" t="s">
        <v>4</v>
      </c>
      <c r="E555" s="23">
        <v>3244</v>
      </c>
      <c r="F555" s="23">
        <v>242</v>
      </c>
      <c r="G555" s="23">
        <v>255</v>
      </c>
      <c r="H555" s="23">
        <v>129</v>
      </c>
      <c r="K555" s="23" t="s">
        <v>337</v>
      </c>
      <c r="M555" s="23">
        <v>3</v>
      </c>
      <c r="N555" s="35" t="s">
        <v>391</v>
      </c>
      <c r="O555" s="34"/>
      <c r="P555" s="26" t="s">
        <v>390</v>
      </c>
    </row>
    <row r="556" spans="1:17" x14ac:dyDescent="0.45">
      <c r="A556" s="23">
        <v>532</v>
      </c>
      <c r="B556" s="23" t="s">
        <v>3149</v>
      </c>
      <c r="C556" s="28" t="s">
        <v>47</v>
      </c>
      <c r="D556" s="36"/>
      <c r="E556" s="23">
        <v>1315</v>
      </c>
      <c r="F556" s="23">
        <v>181</v>
      </c>
      <c r="G556" s="23">
        <v>134</v>
      </c>
      <c r="H556" s="23">
        <v>87</v>
      </c>
      <c r="L556" s="23">
        <v>10</v>
      </c>
      <c r="M556" s="23">
        <v>5</v>
      </c>
      <c r="N556" s="28" t="s">
        <v>604</v>
      </c>
      <c r="O556" s="34"/>
      <c r="P556" s="28" t="s">
        <v>3308</v>
      </c>
    </row>
    <row r="557" spans="1:17" x14ac:dyDescent="0.45">
      <c r="A557" s="23">
        <v>533</v>
      </c>
      <c r="B557" s="23" t="s">
        <v>3150</v>
      </c>
      <c r="C557" s="28" t="s">
        <v>47</v>
      </c>
      <c r="D557" s="36"/>
      <c r="E557" s="23">
        <v>2169</v>
      </c>
      <c r="F557" s="23">
        <v>198</v>
      </c>
      <c r="G557" s="23">
        <v>180</v>
      </c>
      <c r="H557" s="23">
        <v>134</v>
      </c>
      <c r="M557" s="23">
        <v>5</v>
      </c>
      <c r="N557" s="28" t="s">
        <v>3181</v>
      </c>
      <c r="O557" s="34"/>
      <c r="P557" s="28" t="s">
        <v>3309</v>
      </c>
    </row>
    <row r="558" spans="1:17" x14ac:dyDescent="0.45">
      <c r="A558" s="23">
        <v>534</v>
      </c>
      <c r="B558" s="23" t="s">
        <v>3151</v>
      </c>
      <c r="C558" s="28" t="s">
        <v>47</v>
      </c>
      <c r="D558" s="36"/>
      <c r="E558" s="23">
        <v>3337</v>
      </c>
      <c r="F558" s="23">
        <v>233</v>
      </c>
      <c r="G558" s="23">
        <v>243</v>
      </c>
      <c r="H558" s="23">
        <v>158</v>
      </c>
      <c r="M558" s="23">
        <v>5</v>
      </c>
      <c r="N558" s="28" t="s">
        <v>540</v>
      </c>
      <c r="O558" s="31"/>
      <c r="P558" s="28" t="s">
        <v>3310</v>
      </c>
    </row>
    <row r="559" spans="1:17" x14ac:dyDescent="0.45">
      <c r="A559" s="23">
        <v>535</v>
      </c>
      <c r="B559" s="23" t="s">
        <v>3152</v>
      </c>
      <c r="C559" s="39" t="s">
        <v>111</v>
      </c>
      <c r="D559" s="36"/>
      <c r="E559" s="23">
        <v>839</v>
      </c>
      <c r="F559" s="23">
        <v>137</v>
      </c>
      <c r="G559" s="23">
        <v>98</v>
      </c>
      <c r="H559" s="23">
        <v>78</v>
      </c>
      <c r="K559" s="23" t="s">
        <v>337</v>
      </c>
      <c r="L559" s="23">
        <v>5</v>
      </c>
      <c r="M559" s="23">
        <v>3</v>
      </c>
      <c r="N559" s="39" t="s">
        <v>1134</v>
      </c>
      <c r="O559" s="36"/>
      <c r="P559" s="35" t="s">
        <v>3311</v>
      </c>
    </row>
    <row r="560" spans="1:17" x14ac:dyDescent="0.45">
      <c r="A560" s="23">
        <v>536</v>
      </c>
      <c r="B560" s="23" t="s">
        <v>3153</v>
      </c>
      <c r="C560" s="35" t="s">
        <v>3</v>
      </c>
      <c r="D560" s="39" t="s">
        <v>111</v>
      </c>
      <c r="E560" s="23">
        <v>1392</v>
      </c>
      <c r="F560" s="23">
        <v>181</v>
      </c>
      <c r="G560" s="23">
        <v>128</v>
      </c>
      <c r="H560" s="23">
        <v>109</v>
      </c>
      <c r="M560" s="23">
        <v>3</v>
      </c>
      <c r="N560" s="39" t="s">
        <v>1134</v>
      </c>
      <c r="O560" s="25"/>
      <c r="P560" s="35" t="s">
        <v>3312</v>
      </c>
    </row>
    <row r="561" spans="1:16" x14ac:dyDescent="0.45">
      <c r="A561" s="23">
        <v>537</v>
      </c>
      <c r="B561" s="23" t="s">
        <v>3154</v>
      </c>
      <c r="C561" s="35" t="s">
        <v>3</v>
      </c>
      <c r="D561" s="39" t="s">
        <v>111</v>
      </c>
      <c r="E561" s="23">
        <v>2564</v>
      </c>
      <c r="F561" s="23">
        <v>233</v>
      </c>
      <c r="G561" s="23">
        <v>188</v>
      </c>
      <c r="H561" s="23">
        <v>150</v>
      </c>
      <c r="M561" s="23">
        <v>3</v>
      </c>
      <c r="N561" s="39" t="s">
        <v>1134</v>
      </c>
      <c r="O561" s="25"/>
      <c r="P561" s="35" t="s">
        <v>3313</v>
      </c>
    </row>
    <row r="562" spans="1:16" x14ac:dyDescent="0.45">
      <c r="A562" s="23">
        <v>538</v>
      </c>
      <c r="B562" s="23" t="s">
        <v>3155</v>
      </c>
      <c r="C562" s="28" t="s">
        <v>47</v>
      </c>
      <c r="E562" s="23">
        <v>2562</v>
      </c>
      <c r="F562" s="23">
        <v>260</v>
      </c>
      <c r="G562" s="23">
        <v>172</v>
      </c>
      <c r="H562" s="23">
        <v>160</v>
      </c>
      <c r="K562" s="23" t="s">
        <v>337</v>
      </c>
      <c r="L562" s="23">
        <v>10</v>
      </c>
      <c r="M562" s="23">
        <v>5</v>
      </c>
      <c r="N562" s="28" t="s">
        <v>3182</v>
      </c>
      <c r="O562" s="25"/>
      <c r="P562" s="28" t="s">
        <v>3314</v>
      </c>
    </row>
    <row r="563" spans="1:16" x14ac:dyDescent="0.45">
      <c r="A563" s="23">
        <v>539</v>
      </c>
      <c r="B563" s="23" t="s">
        <v>3156</v>
      </c>
      <c r="C563" s="28" t="s">
        <v>47</v>
      </c>
      <c r="D563" s="33"/>
      <c r="E563" s="23">
        <v>2788</v>
      </c>
      <c r="F563" s="23">
        <v>181</v>
      </c>
      <c r="G563" s="23">
        <v>231</v>
      </c>
      <c r="H563" s="23">
        <v>153</v>
      </c>
      <c r="K563" s="23" t="s">
        <v>337</v>
      </c>
      <c r="L563" s="23">
        <v>10</v>
      </c>
      <c r="M563" s="23">
        <v>5</v>
      </c>
      <c r="N563" s="28" t="s">
        <v>3181</v>
      </c>
      <c r="O563" s="34"/>
      <c r="P563" s="28" t="s">
        <v>3314</v>
      </c>
    </row>
    <row r="564" spans="1:16" x14ac:dyDescent="0.45">
      <c r="A564" s="23">
        <v>543</v>
      </c>
      <c r="B564" s="23" t="s">
        <v>3157</v>
      </c>
      <c r="C564" s="37" t="s">
        <v>32</v>
      </c>
      <c r="D564" s="32" t="s">
        <v>29</v>
      </c>
      <c r="E564" s="23">
        <v>706</v>
      </c>
      <c r="F564" s="23">
        <v>102</v>
      </c>
      <c r="G564" s="23">
        <v>83</v>
      </c>
      <c r="H564" s="23">
        <v>99</v>
      </c>
      <c r="K564" s="23" t="s">
        <v>337</v>
      </c>
      <c r="L564" s="23">
        <v>2</v>
      </c>
      <c r="M564" s="23">
        <v>1</v>
      </c>
      <c r="N564" s="37" t="s">
        <v>632</v>
      </c>
      <c r="O564" s="34"/>
      <c r="P564" s="32" t="s">
        <v>3315</v>
      </c>
    </row>
    <row r="565" spans="1:16" x14ac:dyDescent="0.45">
      <c r="A565" s="23">
        <v>544</v>
      </c>
      <c r="B565" s="23" t="s">
        <v>3158</v>
      </c>
      <c r="C565" s="37" t="s">
        <v>32</v>
      </c>
      <c r="D565" s="32" t="s">
        <v>29</v>
      </c>
      <c r="E565" s="23">
        <v>1144</v>
      </c>
      <c r="F565" s="23">
        <v>120</v>
      </c>
      <c r="G565" s="23">
        <v>100</v>
      </c>
      <c r="H565" s="23">
        <v>173</v>
      </c>
      <c r="M565" s="23">
        <v>1</v>
      </c>
      <c r="N565" s="37" t="s">
        <v>632</v>
      </c>
      <c r="O565" s="34"/>
      <c r="P565" s="32" t="s">
        <v>3315</v>
      </c>
    </row>
    <row r="566" spans="1:16" x14ac:dyDescent="0.45">
      <c r="A566" s="23">
        <v>545</v>
      </c>
      <c r="B566" s="23" t="s">
        <v>3159</v>
      </c>
      <c r="C566" s="37" t="s">
        <v>32</v>
      </c>
      <c r="D566" s="32" t="s">
        <v>29</v>
      </c>
      <c r="E566" s="23">
        <v>2447</v>
      </c>
      <c r="F566" s="23">
        <v>155</v>
      </c>
      <c r="G566" s="23">
        <v>203</v>
      </c>
      <c r="H566" s="23">
        <v>175</v>
      </c>
      <c r="M566" s="23">
        <v>1</v>
      </c>
      <c r="N566" s="37" t="s">
        <v>3183</v>
      </c>
      <c r="O566" s="40"/>
      <c r="P566" s="32" t="s">
        <v>3316</v>
      </c>
    </row>
    <row r="567" spans="1:16" x14ac:dyDescent="0.45">
      <c r="A567" s="23">
        <v>550</v>
      </c>
      <c r="B567" s="23" t="s">
        <v>3160</v>
      </c>
      <c r="C567" s="39" t="s">
        <v>111</v>
      </c>
      <c r="D567" s="34"/>
      <c r="E567" s="23">
        <v>2090</v>
      </c>
      <c r="F567" s="23">
        <v>172</v>
      </c>
      <c r="G567" s="23">
        <v>189</v>
      </c>
      <c r="H567" s="23">
        <v>129</v>
      </c>
      <c r="K567" s="23" t="s">
        <v>337</v>
      </c>
      <c r="M567" s="23">
        <v>1</v>
      </c>
      <c r="N567" s="31" t="s">
        <v>450</v>
      </c>
      <c r="O567" s="40"/>
      <c r="P567" s="39" t="s">
        <v>3317</v>
      </c>
    </row>
    <row r="568" spans="1:16" x14ac:dyDescent="0.45">
      <c r="A568" s="23">
        <v>550</v>
      </c>
      <c r="B568" s="23" t="s">
        <v>3161</v>
      </c>
      <c r="C568" s="39" t="s">
        <v>111</v>
      </c>
      <c r="E568" s="23">
        <v>2090</v>
      </c>
      <c r="F568" s="23">
        <v>172</v>
      </c>
      <c r="G568" s="23">
        <v>189</v>
      </c>
      <c r="H568" s="23">
        <v>129</v>
      </c>
      <c r="K568" s="23" t="s">
        <v>337</v>
      </c>
      <c r="M568" s="23">
        <v>1</v>
      </c>
      <c r="N568" s="31" t="s">
        <v>450</v>
      </c>
      <c r="O568" s="42"/>
      <c r="P568" s="39" t="s">
        <v>3317</v>
      </c>
    </row>
    <row r="569" spans="1:16" x14ac:dyDescent="0.45">
      <c r="A569" s="23">
        <v>554</v>
      </c>
      <c r="B569" s="23" t="s">
        <v>3761</v>
      </c>
      <c r="C569" s="33" t="s">
        <v>22</v>
      </c>
      <c r="E569" s="23">
        <v>1442</v>
      </c>
      <c r="F569" s="23">
        <v>172</v>
      </c>
      <c r="G569" s="23">
        <v>153</v>
      </c>
      <c r="H569" s="23">
        <v>86</v>
      </c>
      <c r="M569" s="23">
        <v>3</v>
      </c>
      <c r="N569" s="31" t="s">
        <v>3774</v>
      </c>
      <c r="P569" s="33" t="s">
        <v>3782</v>
      </c>
    </row>
    <row r="570" spans="1:16" x14ac:dyDescent="0.45">
      <c r="A570" s="23">
        <v>555</v>
      </c>
      <c r="B570" s="23" t="s">
        <v>3762</v>
      </c>
      <c r="C570" s="33" t="s">
        <v>22</v>
      </c>
      <c r="E570" s="23">
        <v>3105</v>
      </c>
      <c r="F570" s="23">
        <v>233</v>
      </c>
      <c r="G570" s="23">
        <v>263</v>
      </c>
      <c r="H570" s="23">
        <v>114</v>
      </c>
      <c r="M570" s="23">
        <v>3</v>
      </c>
      <c r="N570" s="31" t="s">
        <v>3774</v>
      </c>
      <c r="P570" s="41" t="s">
        <v>3783</v>
      </c>
    </row>
    <row r="571" spans="1:16" x14ac:dyDescent="0.45">
      <c r="A571" s="23">
        <v>556</v>
      </c>
      <c r="B571" s="23" t="s">
        <v>3162</v>
      </c>
      <c r="C571" s="36" t="s">
        <v>12</v>
      </c>
      <c r="D571" s="34"/>
      <c r="E571" s="23">
        <v>2274</v>
      </c>
      <c r="F571" s="23">
        <v>181</v>
      </c>
      <c r="G571" s="23">
        <v>201</v>
      </c>
      <c r="H571" s="23">
        <v>130</v>
      </c>
      <c r="K571" s="23" t="s">
        <v>337</v>
      </c>
      <c r="L571" s="23">
        <v>5</v>
      </c>
      <c r="M571" s="23">
        <v>1</v>
      </c>
      <c r="N571" s="36" t="s">
        <v>3184</v>
      </c>
      <c r="O571" s="34"/>
      <c r="P571" s="36" t="s">
        <v>3318</v>
      </c>
    </row>
    <row r="572" spans="1:16" x14ac:dyDescent="0.45">
      <c r="A572" s="23">
        <v>557</v>
      </c>
      <c r="B572" s="23" t="s">
        <v>3163</v>
      </c>
      <c r="C572" s="32" t="s">
        <v>29</v>
      </c>
      <c r="D572" s="41" t="s">
        <v>43</v>
      </c>
      <c r="E572" s="23">
        <v>1224</v>
      </c>
      <c r="F572" s="23">
        <v>137</v>
      </c>
      <c r="G572" s="23">
        <v>118</v>
      </c>
      <c r="H572" s="23">
        <v>128</v>
      </c>
      <c r="K572" s="23" t="s">
        <v>337</v>
      </c>
      <c r="L572" s="23">
        <v>2</v>
      </c>
      <c r="M572" s="23">
        <v>1</v>
      </c>
      <c r="N572" s="31" t="s">
        <v>3185</v>
      </c>
      <c r="O572" s="34"/>
      <c r="P572" s="41" t="s">
        <v>3319</v>
      </c>
    </row>
    <row r="573" spans="1:16" x14ac:dyDescent="0.45">
      <c r="A573" s="23">
        <v>558</v>
      </c>
      <c r="B573" s="23" t="s">
        <v>3164</v>
      </c>
      <c r="C573" s="32" t="s">
        <v>29</v>
      </c>
      <c r="D573" s="41" t="s">
        <v>43</v>
      </c>
      <c r="E573" s="23">
        <v>2542</v>
      </c>
      <c r="F573" s="23">
        <v>172</v>
      </c>
      <c r="G573" s="23">
        <v>188</v>
      </c>
      <c r="H573" s="23">
        <v>200</v>
      </c>
      <c r="M573" s="23">
        <v>1</v>
      </c>
      <c r="N573" s="41" t="s">
        <v>3186</v>
      </c>
      <c r="O573" s="34"/>
      <c r="P573" s="41" t="s">
        <v>3320</v>
      </c>
    </row>
    <row r="574" spans="1:16" x14ac:dyDescent="0.45">
      <c r="A574" s="23">
        <v>559</v>
      </c>
      <c r="B574" s="23" t="s">
        <v>3763</v>
      </c>
      <c r="C574" s="28" t="s">
        <v>47</v>
      </c>
      <c r="D574" s="29" t="s">
        <v>78</v>
      </c>
      <c r="E574" s="23">
        <v>1372</v>
      </c>
      <c r="F574" s="23">
        <v>137</v>
      </c>
      <c r="G574" s="23">
        <v>132</v>
      </c>
      <c r="H574" s="23">
        <v>132</v>
      </c>
      <c r="M574" s="23">
        <v>3</v>
      </c>
      <c r="N574" s="28" t="s">
        <v>3775</v>
      </c>
      <c r="P574" s="37" t="s">
        <v>3784</v>
      </c>
    </row>
    <row r="575" spans="1:16" x14ac:dyDescent="0.45">
      <c r="A575" s="23">
        <v>560</v>
      </c>
      <c r="B575" s="23" t="s">
        <v>3764</v>
      </c>
      <c r="C575" s="28" t="s">
        <v>47</v>
      </c>
      <c r="D575" s="29" t="s">
        <v>78</v>
      </c>
      <c r="E575" s="23">
        <v>2283</v>
      </c>
      <c r="F575" s="23">
        <v>163</v>
      </c>
      <c r="G575" s="23">
        <v>163</v>
      </c>
      <c r="H575" s="23">
        <v>222</v>
      </c>
      <c r="M575" s="23">
        <v>3</v>
      </c>
      <c r="N575" s="28" t="s">
        <v>3776</v>
      </c>
      <c r="P575" s="37" t="s">
        <v>3785</v>
      </c>
    </row>
    <row r="576" spans="1:16" x14ac:dyDescent="0.45">
      <c r="A576" s="23">
        <v>561</v>
      </c>
      <c r="B576" s="23" t="s">
        <v>3165</v>
      </c>
      <c r="C576" s="38" t="s">
        <v>72</v>
      </c>
      <c r="D576" s="27" t="s">
        <v>18</v>
      </c>
      <c r="E576" s="23">
        <v>2550</v>
      </c>
      <c r="F576" s="23">
        <v>176</v>
      </c>
      <c r="G576" s="23">
        <v>204</v>
      </c>
      <c r="H576" s="23">
        <v>167</v>
      </c>
      <c r="K576" s="23" t="s">
        <v>337</v>
      </c>
      <c r="L576" s="23">
        <v>10</v>
      </c>
      <c r="M576" s="23">
        <v>5</v>
      </c>
      <c r="N576" s="38" t="s">
        <v>3187</v>
      </c>
      <c r="O576" s="32"/>
      <c r="P576" s="38" t="s">
        <v>3321</v>
      </c>
    </row>
    <row r="577" spans="1:16" x14ac:dyDescent="0.45">
      <c r="A577" s="23">
        <v>562</v>
      </c>
      <c r="B577" s="23" t="s">
        <v>389</v>
      </c>
      <c r="C577" s="34" t="s">
        <v>16</v>
      </c>
      <c r="D577" s="29"/>
      <c r="E577" s="23">
        <v>982</v>
      </c>
      <c r="F577" s="23">
        <v>116</v>
      </c>
      <c r="G577" s="23">
        <v>95</v>
      </c>
      <c r="H577" s="23">
        <v>141</v>
      </c>
      <c r="I577" s="23" t="s">
        <v>337</v>
      </c>
      <c r="K577" s="23" t="s">
        <v>337</v>
      </c>
      <c r="M577" s="23">
        <v>3</v>
      </c>
      <c r="N577" s="34" t="s">
        <v>386</v>
      </c>
      <c r="O577" s="31"/>
      <c r="P577" s="29" t="s">
        <v>388</v>
      </c>
    </row>
    <row r="578" spans="1:16" x14ac:dyDescent="0.45">
      <c r="A578" s="23">
        <v>563</v>
      </c>
      <c r="B578" s="23" t="s">
        <v>387</v>
      </c>
      <c r="C578" s="34" t="s">
        <v>16</v>
      </c>
      <c r="D578" s="29"/>
      <c r="E578" s="23">
        <v>2273</v>
      </c>
      <c r="F578" s="23">
        <v>151</v>
      </c>
      <c r="G578" s="23">
        <v>163</v>
      </c>
      <c r="H578" s="23">
        <v>237</v>
      </c>
      <c r="I578" s="23" t="s">
        <v>337</v>
      </c>
      <c r="M578" s="23">
        <v>3</v>
      </c>
      <c r="N578" s="34" t="s">
        <v>386</v>
      </c>
      <c r="O578" s="29"/>
      <c r="P578" s="29" t="s">
        <v>385</v>
      </c>
    </row>
    <row r="579" spans="1:16" x14ac:dyDescent="0.45">
      <c r="A579" s="23">
        <v>564</v>
      </c>
      <c r="B579" s="23" t="s">
        <v>3166</v>
      </c>
      <c r="C579" s="41" t="s">
        <v>43</v>
      </c>
      <c r="D579" s="39" t="s">
        <v>111</v>
      </c>
      <c r="E579" s="23">
        <v>1488</v>
      </c>
      <c r="F579" s="23">
        <v>144</v>
      </c>
      <c r="G579" s="23">
        <v>134</v>
      </c>
      <c r="H579" s="23">
        <v>146</v>
      </c>
      <c r="K579" s="23" t="s">
        <v>337</v>
      </c>
      <c r="L579" s="23">
        <v>10</v>
      </c>
      <c r="M579" s="23">
        <v>5</v>
      </c>
      <c r="N579" s="29" t="s">
        <v>409</v>
      </c>
      <c r="O579" s="29"/>
      <c r="P579" s="41" t="s">
        <v>3322</v>
      </c>
    </row>
    <row r="580" spans="1:16" x14ac:dyDescent="0.45">
      <c r="A580" s="23">
        <v>565</v>
      </c>
      <c r="B580" s="23" t="s">
        <v>3765</v>
      </c>
      <c r="C580" s="41" t="s">
        <v>43</v>
      </c>
      <c r="D580" s="39" t="s">
        <v>111</v>
      </c>
      <c r="E580" s="23">
        <v>2621</v>
      </c>
      <c r="F580" s="23">
        <v>179</v>
      </c>
      <c r="G580" s="23">
        <v>192</v>
      </c>
      <c r="H580" s="23">
        <v>197</v>
      </c>
      <c r="M580" s="23">
        <v>5</v>
      </c>
      <c r="N580" s="41" t="s">
        <v>3777</v>
      </c>
      <c r="P580" s="41" t="s">
        <v>3322</v>
      </c>
    </row>
    <row r="581" spans="1:16" x14ac:dyDescent="0.45">
      <c r="A581" s="23">
        <v>566</v>
      </c>
      <c r="B581" s="23" t="s">
        <v>3167</v>
      </c>
      <c r="C581" s="38" t="s">
        <v>72</v>
      </c>
      <c r="D581" s="41" t="s">
        <v>43</v>
      </c>
      <c r="E581" s="23">
        <v>1842</v>
      </c>
      <c r="F581" s="23">
        <v>146</v>
      </c>
      <c r="G581" s="23">
        <v>213</v>
      </c>
      <c r="H581" s="23">
        <v>89</v>
      </c>
      <c r="K581" s="23" t="s">
        <v>337</v>
      </c>
      <c r="L581" s="23">
        <v>10</v>
      </c>
      <c r="M581" s="23">
        <v>5</v>
      </c>
      <c r="N581" s="38" t="s">
        <v>684</v>
      </c>
      <c r="O581" s="27"/>
      <c r="P581" s="29" t="s">
        <v>3323</v>
      </c>
    </row>
    <row r="582" spans="1:16" x14ac:dyDescent="0.45">
      <c r="A582" s="23">
        <v>567</v>
      </c>
      <c r="B582" s="23" t="s">
        <v>3168</v>
      </c>
      <c r="C582" s="38" t="s">
        <v>72</v>
      </c>
      <c r="D582" s="41" t="s">
        <v>43</v>
      </c>
      <c r="E582" s="23">
        <v>3331</v>
      </c>
      <c r="F582" s="23">
        <v>181</v>
      </c>
      <c r="G582" s="23">
        <v>292</v>
      </c>
      <c r="H582" s="23">
        <v>139</v>
      </c>
      <c r="M582" s="23">
        <v>5</v>
      </c>
      <c r="N582" s="38" t="s">
        <v>960</v>
      </c>
      <c r="O582" s="41"/>
      <c r="P582" s="29" t="s">
        <v>3323</v>
      </c>
    </row>
    <row r="583" spans="1:16" x14ac:dyDescent="0.45">
      <c r="A583" s="23">
        <v>568</v>
      </c>
      <c r="B583" s="23" t="s">
        <v>3169</v>
      </c>
      <c r="C583" s="37" t="s">
        <v>32</v>
      </c>
      <c r="D583" s="36"/>
      <c r="E583" s="23">
        <v>1000</v>
      </c>
      <c r="F583" s="23">
        <v>137</v>
      </c>
      <c r="G583" s="23">
        <v>96</v>
      </c>
      <c r="H583" s="23">
        <v>122</v>
      </c>
      <c r="K583" s="23" t="s">
        <v>337</v>
      </c>
      <c r="L583" s="23">
        <v>5</v>
      </c>
      <c r="M583" s="23">
        <v>3</v>
      </c>
      <c r="N583" s="31" t="s">
        <v>3188</v>
      </c>
      <c r="O583" s="27"/>
      <c r="P583" s="36" t="s">
        <v>3324</v>
      </c>
    </row>
    <row r="584" spans="1:16" x14ac:dyDescent="0.45">
      <c r="A584" s="23">
        <v>569</v>
      </c>
      <c r="B584" s="23" t="s">
        <v>3170</v>
      </c>
      <c r="C584" s="37" t="s">
        <v>32</v>
      </c>
      <c r="E584" s="23">
        <v>2345</v>
      </c>
      <c r="F584" s="23">
        <v>190</v>
      </c>
      <c r="G584" s="23">
        <v>181</v>
      </c>
      <c r="H584" s="23">
        <v>164</v>
      </c>
      <c r="M584" s="23">
        <v>3</v>
      </c>
      <c r="N584" s="31" t="s">
        <v>3189</v>
      </c>
      <c r="O584" s="25"/>
      <c r="P584" s="37" t="s">
        <v>3325</v>
      </c>
    </row>
    <row r="585" spans="1:16" x14ac:dyDescent="0.45">
      <c r="A585" s="23">
        <v>572</v>
      </c>
      <c r="B585" s="23" t="s">
        <v>3766</v>
      </c>
      <c r="C585" s="31" t="s">
        <v>68</v>
      </c>
      <c r="E585" s="23">
        <v>872</v>
      </c>
      <c r="F585" s="23">
        <v>146</v>
      </c>
      <c r="G585" s="23">
        <v>98</v>
      </c>
      <c r="H585" s="23">
        <v>80</v>
      </c>
      <c r="I585" s="23" t="s">
        <v>337</v>
      </c>
      <c r="K585" s="23" t="s">
        <v>337</v>
      </c>
      <c r="M585" s="23">
        <v>3</v>
      </c>
      <c r="N585" s="40" t="s">
        <v>3778</v>
      </c>
      <c r="P585" s="25" t="s">
        <v>3786</v>
      </c>
    </row>
    <row r="586" spans="1:16" x14ac:dyDescent="0.45">
      <c r="A586" s="23">
        <v>573</v>
      </c>
      <c r="B586" s="23" t="s">
        <v>3767</v>
      </c>
      <c r="C586" s="31" t="s">
        <v>68</v>
      </c>
      <c r="E586" s="23">
        <v>2242</v>
      </c>
      <c r="F586" s="23">
        <v>181</v>
      </c>
      <c r="G586" s="23">
        <v>198</v>
      </c>
      <c r="H586" s="23">
        <v>130</v>
      </c>
      <c r="I586" s="23" t="s">
        <v>337</v>
      </c>
      <c r="M586" s="23">
        <v>3</v>
      </c>
      <c r="N586" s="40" t="s">
        <v>3778</v>
      </c>
      <c r="P586" s="25" t="s">
        <v>3786</v>
      </c>
    </row>
    <row r="587" spans="1:16" x14ac:dyDescent="0.45">
      <c r="A587" s="23">
        <v>588</v>
      </c>
      <c r="B587" s="23" t="s">
        <v>3171</v>
      </c>
      <c r="C587" s="32" t="s">
        <v>29</v>
      </c>
      <c r="E587" s="23">
        <v>1182</v>
      </c>
      <c r="F587" s="23">
        <v>137</v>
      </c>
      <c r="G587" s="23">
        <v>137</v>
      </c>
      <c r="H587" s="23">
        <v>87</v>
      </c>
      <c r="K587" s="23" t="s">
        <v>337</v>
      </c>
      <c r="L587" s="23">
        <v>5</v>
      </c>
      <c r="M587" s="23">
        <v>3</v>
      </c>
      <c r="N587" s="38" t="s">
        <v>3190</v>
      </c>
      <c r="O587" s="25"/>
      <c r="P587" s="32" t="s">
        <v>3326</v>
      </c>
    </row>
    <row r="588" spans="1:16" x14ac:dyDescent="0.45">
      <c r="A588" s="23">
        <v>589</v>
      </c>
      <c r="B588" s="23" t="s">
        <v>3172</v>
      </c>
      <c r="C588" s="32" t="s">
        <v>29</v>
      </c>
      <c r="D588" s="26" t="s">
        <v>4</v>
      </c>
      <c r="E588" s="23">
        <v>2889</v>
      </c>
      <c r="F588" s="23">
        <v>172</v>
      </c>
      <c r="G588" s="23">
        <v>223</v>
      </c>
      <c r="H588" s="23">
        <v>187</v>
      </c>
      <c r="M588" s="23">
        <v>3</v>
      </c>
      <c r="N588" s="28" t="s">
        <v>3191</v>
      </c>
      <c r="O588" s="31"/>
      <c r="P588" s="37" t="s">
        <v>3327</v>
      </c>
    </row>
    <row r="589" spans="1:16" x14ac:dyDescent="0.45">
      <c r="A589" s="23">
        <v>590</v>
      </c>
      <c r="B589" s="23" t="s">
        <v>384</v>
      </c>
      <c r="C589" s="37" t="s">
        <v>32</v>
      </c>
      <c r="D589" s="36" t="s">
        <v>12</v>
      </c>
      <c r="E589" s="23">
        <v>979</v>
      </c>
      <c r="F589" s="23">
        <v>170</v>
      </c>
      <c r="G589" s="23">
        <v>97</v>
      </c>
      <c r="H589" s="23">
        <v>91</v>
      </c>
      <c r="K589" s="23" t="s">
        <v>337</v>
      </c>
      <c r="M589" s="23">
        <v>3</v>
      </c>
      <c r="N589" s="34" t="s">
        <v>382</v>
      </c>
      <c r="P589" s="36" t="s">
        <v>383</v>
      </c>
    </row>
    <row r="590" spans="1:16" x14ac:dyDescent="0.45">
      <c r="A590" s="23">
        <v>591</v>
      </c>
      <c r="B590" s="23" t="s">
        <v>31</v>
      </c>
      <c r="C590" s="37" t="s">
        <v>32</v>
      </c>
      <c r="D590" s="36" t="s">
        <v>12</v>
      </c>
      <c r="E590" s="23">
        <v>2140</v>
      </c>
      <c r="F590" s="23">
        <v>249</v>
      </c>
      <c r="G590" s="23">
        <v>155</v>
      </c>
      <c r="H590" s="23">
        <v>139</v>
      </c>
      <c r="K590" s="23" t="s">
        <v>337</v>
      </c>
      <c r="M590" s="23">
        <v>3</v>
      </c>
      <c r="N590" s="34" t="s">
        <v>382</v>
      </c>
      <c r="P590" s="29" t="s">
        <v>381</v>
      </c>
    </row>
    <row r="591" spans="1:16" x14ac:dyDescent="0.45">
      <c r="A591" s="23">
        <v>595</v>
      </c>
      <c r="B591" s="23" t="s">
        <v>3173</v>
      </c>
      <c r="C591" s="32" t="s">
        <v>29</v>
      </c>
      <c r="D591" s="25" t="s">
        <v>8</v>
      </c>
      <c r="E591" s="23">
        <v>1023</v>
      </c>
      <c r="F591" s="23">
        <v>137</v>
      </c>
      <c r="G591" s="23">
        <v>110</v>
      </c>
      <c r="H591" s="23">
        <v>98</v>
      </c>
      <c r="K591" s="23" t="s">
        <v>337</v>
      </c>
      <c r="L591" s="23">
        <v>5</v>
      </c>
      <c r="M591" s="23">
        <v>3</v>
      </c>
      <c r="N591" s="25" t="s">
        <v>3192</v>
      </c>
      <c r="P591" s="37" t="s">
        <v>3328</v>
      </c>
    </row>
    <row r="592" spans="1:16" x14ac:dyDescent="0.45">
      <c r="A592" s="23">
        <v>596</v>
      </c>
      <c r="B592" s="23" t="s">
        <v>3174</v>
      </c>
      <c r="C592" s="32" t="s">
        <v>29</v>
      </c>
      <c r="D592" s="25" t="s">
        <v>8</v>
      </c>
      <c r="E592" s="23">
        <v>2206</v>
      </c>
      <c r="F592" s="23">
        <v>172</v>
      </c>
      <c r="G592" s="23">
        <v>201</v>
      </c>
      <c r="H592" s="23">
        <v>128</v>
      </c>
      <c r="M592" s="23">
        <v>3</v>
      </c>
      <c r="N592" s="25" t="s">
        <v>3193</v>
      </c>
      <c r="P592" s="36" t="s">
        <v>3329</v>
      </c>
    </row>
    <row r="593" spans="1:16" x14ac:dyDescent="0.45">
      <c r="A593" s="23">
        <v>597</v>
      </c>
      <c r="B593" s="23" t="s">
        <v>380</v>
      </c>
      <c r="C593" s="26" t="s">
        <v>4</v>
      </c>
      <c r="D593" s="36" t="s">
        <v>12</v>
      </c>
      <c r="E593" s="23">
        <v>941</v>
      </c>
      <c r="F593" s="23">
        <v>127</v>
      </c>
      <c r="G593" s="23">
        <v>82</v>
      </c>
      <c r="H593" s="23">
        <v>155</v>
      </c>
      <c r="K593" s="23" t="s">
        <v>337</v>
      </c>
      <c r="L593" s="23">
        <v>10</v>
      </c>
      <c r="M593" s="23">
        <v>3</v>
      </c>
      <c r="N593" s="31" t="s">
        <v>379</v>
      </c>
      <c r="P593" s="26" t="s">
        <v>378</v>
      </c>
    </row>
    <row r="594" spans="1:16" x14ac:dyDescent="0.45">
      <c r="A594" s="23">
        <v>598</v>
      </c>
      <c r="B594" s="23" t="s">
        <v>57</v>
      </c>
      <c r="C594" s="26" t="s">
        <v>4</v>
      </c>
      <c r="D594" s="36" t="s">
        <v>12</v>
      </c>
      <c r="E594" s="23">
        <v>2321</v>
      </c>
      <c r="F594" s="23">
        <v>179</v>
      </c>
      <c r="G594" s="23">
        <v>158</v>
      </c>
      <c r="H594" s="23">
        <v>223</v>
      </c>
      <c r="K594" s="23" t="s">
        <v>337</v>
      </c>
      <c r="M594" s="23">
        <v>3</v>
      </c>
      <c r="N594" s="36" t="s">
        <v>377</v>
      </c>
      <c r="P594" s="37" t="s">
        <v>1792</v>
      </c>
    </row>
    <row r="595" spans="1:16" x14ac:dyDescent="0.45">
      <c r="A595" s="23">
        <v>599</v>
      </c>
      <c r="B595" s="23" t="s">
        <v>376</v>
      </c>
      <c r="C595" s="26" t="s">
        <v>4</v>
      </c>
      <c r="E595" s="23">
        <v>956</v>
      </c>
      <c r="F595" s="23">
        <v>120</v>
      </c>
      <c r="G595" s="23">
        <v>98</v>
      </c>
      <c r="H595" s="23">
        <v>121</v>
      </c>
      <c r="I595" s="23" t="s">
        <v>337</v>
      </c>
      <c r="L595" s="23">
        <v>10</v>
      </c>
      <c r="M595" s="23">
        <v>5</v>
      </c>
      <c r="N595" s="25" t="s">
        <v>375</v>
      </c>
      <c r="P595" s="25" t="s">
        <v>374</v>
      </c>
    </row>
    <row r="596" spans="1:16" x14ac:dyDescent="0.45">
      <c r="A596" s="23">
        <v>600</v>
      </c>
      <c r="B596" s="23" t="s">
        <v>373</v>
      </c>
      <c r="C596" s="26" t="s">
        <v>4</v>
      </c>
      <c r="E596" s="23">
        <v>1847</v>
      </c>
      <c r="F596" s="23">
        <v>155</v>
      </c>
      <c r="G596" s="23">
        <v>150</v>
      </c>
      <c r="H596" s="23">
        <v>174</v>
      </c>
      <c r="I596" s="23" t="s">
        <v>337</v>
      </c>
      <c r="M596" s="23">
        <v>5</v>
      </c>
      <c r="N596" s="25" t="s">
        <v>370</v>
      </c>
      <c r="P596" s="25" t="s">
        <v>372</v>
      </c>
    </row>
    <row r="597" spans="1:16" x14ac:dyDescent="0.45">
      <c r="A597" s="23">
        <v>601</v>
      </c>
      <c r="B597" s="23" t="s">
        <v>371</v>
      </c>
      <c r="C597" s="26" t="s">
        <v>4</v>
      </c>
      <c r="E597" s="23">
        <v>2637</v>
      </c>
      <c r="F597" s="23">
        <v>155</v>
      </c>
      <c r="G597" s="23">
        <v>199</v>
      </c>
      <c r="H597" s="23">
        <v>214</v>
      </c>
      <c r="I597" s="23" t="s">
        <v>337</v>
      </c>
      <c r="M597" s="23">
        <v>5</v>
      </c>
      <c r="N597" s="25" t="s">
        <v>370</v>
      </c>
      <c r="P597" s="25" t="s">
        <v>1793</v>
      </c>
    </row>
    <row r="598" spans="1:16" x14ac:dyDescent="0.45">
      <c r="A598" s="23">
        <v>607</v>
      </c>
      <c r="B598" s="23" t="s">
        <v>369</v>
      </c>
      <c r="C598" s="34" t="s">
        <v>16</v>
      </c>
      <c r="D598" s="33" t="s">
        <v>22</v>
      </c>
      <c r="E598" s="23">
        <v>1006</v>
      </c>
      <c r="F598" s="23">
        <v>137</v>
      </c>
      <c r="G598" s="23">
        <v>108</v>
      </c>
      <c r="H598" s="23">
        <v>98</v>
      </c>
      <c r="K598" s="23" t="s">
        <v>337</v>
      </c>
      <c r="L598" s="23">
        <v>10</v>
      </c>
      <c r="M598" s="23">
        <v>5</v>
      </c>
      <c r="N598" s="34" t="s">
        <v>366</v>
      </c>
      <c r="P598" s="33" t="s">
        <v>368</v>
      </c>
    </row>
    <row r="599" spans="1:16" x14ac:dyDescent="0.45">
      <c r="A599" s="23">
        <v>608</v>
      </c>
      <c r="B599" s="23" t="s">
        <v>367</v>
      </c>
      <c r="C599" s="34" t="s">
        <v>16</v>
      </c>
      <c r="D599" s="33" t="s">
        <v>22</v>
      </c>
      <c r="E599" s="23">
        <v>1708</v>
      </c>
      <c r="F599" s="23">
        <v>155</v>
      </c>
      <c r="G599" s="23">
        <v>169</v>
      </c>
      <c r="H599" s="23">
        <v>115</v>
      </c>
      <c r="K599" s="23" t="s">
        <v>337</v>
      </c>
      <c r="M599" s="23">
        <v>5</v>
      </c>
      <c r="N599" s="34" t="s">
        <v>366</v>
      </c>
      <c r="P599" s="36" t="s">
        <v>365</v>
      </c>
    </row>
    <row r="600" spans="1:16" x14ac:dyDescent="0.45">
      <c r="A600" s="23">
        <v>609</v>
      </c>
      <c r="B600" s="23" t="s">
        <v>364</v>
      </c>
      <c r="C600" s="34" t="s">
        <v>16</v>
      </c>
      <c r="D600" s="33" t="s">
        <v>22</v>
      </c>
      <c r="E600" s="23">
        <v>3268</v>
      </c>
      <c r="F600" s="23">
        <v>155</v>
      </c>
      <c r="G600" s="23">
        <v>271</v>
      </c>
      <c r="H600" s="23">
        <v>182</v>
      </c>
      <c r="M600" s="23">
        <v>5</v>
      </c>
      <c r="N600" s="34" t="s">
        <v>363</v>
      </c>
      <c r="P600" s="36" t="s">
        <v>362</v>
      </c>
    </row>
    <row r="601" spans="1:16" x14ac:dyDescent="0.45">
      <c r="A601" s="23">
        <v>610</v>
      </c>
      <c r="B601" s="23" t="s">
        <v>3175</v>
      </c>
      <c r="C601" s="30" t="s">
        <v>90</v>
      </c>
      <c r="E601" s="23">
        <v>1368</v>
      </c>
      <c r="F601" s="23">
        <v>130</v>
      </c>
      <c r="G601" s="23">
        <v>154</v>
      </c>
      <c r="H601" s="23">
        <v>101</v>
      </c>
      <c r="K601" s="23" t="s">
        <v>337</v>
      </c>
      <c r="L601" s="23">
        <v>10</v>
      </c>
      <c r="M601" s="23">
        <v>5</v>
      </c>
      <c r="N601" s="26" t="s">
        <v>3194</v>
      </c>
      <c r="P601" s="39" t="s">
        <v>3330</v>
      </c>
    </row>
    <row r="602" spans="1:16" x14ac:dyDescent="0.45">
      <c r="A602" s="23">
        <v>611</v>
      </c>
      <c r="B602" s="23" t="s">
        <v>3176</v>
      </c>
      <c r="C602" s="30" t="s">
        <v>90</v>
      </c>
      <c r="E602" s="23">
        <v>2234</v>
      </c>
      <c r="F602" s="23">
        <v>165</v>
      </c>
      <c r="G602" s="23">
        <v>212</v>
      </c>
      <c r="H602" s="23">
        <v>123</v>
      </c>
      <c r="M602" s="23">
        <v>5</v>
      </c>
      <c r="N602" s="26" t="s">
        <v>3195</v>
      </c>
      <c r="P602" s="39" t="s">
        <v>3331</v>
      </c>
    </row>
    <row r="603" spans="1:16" x14ac:dyDescent="0.45">
      <c r="A603" s="23">
        <v>612</v>
      </c>
      <c r="B603" s="23" t="s">
        <v>3177</v>
      </c>
      <c r="C603" s="30" t="s">
        <v>90</v>
      </c>
      <c r="E603" s="23">
        <v>3593</v>
      </c>
      <c r="F603" s="23">
        <v>183</v>
      </c>
      <c r="G603" s="23">
        <v>284</v>
      </c>
      <c r="H603" s="23">
        <v>172</v>
      </c>
      <c r="M603" s="23">
        <v>5</v>
      </c>
      <c r="N603" s="26" t="s">
        <v>3195</v>
      </c>
      <c r="P603" s="39" t="s">
        <v>3332</v>
      </c>
    </row>
    <row r="604" spans="1:16" x14ac:dyDescent="0.45">
      <c r="A604" s="23">
        <v>613</v>
      </c>
      <c r="B604" s="23" t="s">
        <v>2600</v>
      </c>
      <c r="C604" s="42" t="s">
        <v>62</v>
      </c>
      <c r="E604" s="23">
        <v>1069</v>
      </c>
      <c r="F604" s="23">
        <v>146</v>
      </c>
      <c r="G604" s="23">
        <v>128</v>
      </c>
      <c r="H604" s="23">
        <v>74</v>
      </c>
      <c r="K604" s="23" t="s">
        <v>337</v>
      </c>
      <c r="M604" s="23">
        <v>3</v>
      </c>
      <c r="N604" s="40" t="s">
        <v>2604</v>
      </c>
      <c r="P604" s="42" t="s">
        <v>2610</v>
      </c>
    </row>
    <row r="605" spans="1:16" x14ac:dyDescent="0.45">
      <c r="A605" s="23">
        <v>614</v>
      </c>
      <c r="B605" s="23" t="s">
        <v>2601</v>
      </c>
      <c r="C605" s="42" t="s">
        <v>62</v>
      </c>
      <c r="E605" s="23">
        <v>3042</v>
      </c>
      <c r="F605" s="23">
        <v>216</v>
      </c>
      <c r="G605" s="23">
        <v>233</v>
      </c>
      <c r="H605" s="23">
        <v>152</v>
      </c>
      <c r="M605" s="23">
        <v>3</v>
      </c>
      <c r="N605" s="40" t="s">
        <v>2604</v>
      </c>
      <c r="P605" s="40" t="s">
        <v>2611</v>
      </c>
    </row>
    <row r="606" spans="1:16" x14ac:dyDescent="0.45">
      <c r="A606" s="23">
        <v>615</v>
      </c>
      <c r="B606" s="23" t="s">
        <v>2602</v>
      </c>
      <c r="C606" s="42" t="s">
        <v>62</v>
      </c>
      <c r="E606" s="23">
        <v>2798</v>
      </c>
      <c r="F606" s="23">
        <v>190</v>
      </c>
      <c r="G606" s="23">
        <v>190</v>
      </c>
      <c r="H606" s="23">
        <v>218</v>
      </c>
      <c r="K606" s="23" t="s">
        <v>337</v>
      </c>
      <c r="M606" s="23">
        <v>5</v>
      </c>
      <c r="N606" s="42" t="s">
        <v>506</v>
      </c>
      <c r="P606" s="42" t="s">
        <v>2612</v>
      </c>
    </row>
    <row r="607" spans="1:16" x14ac:dyDescent="0.45">
      <c r="A607" s="23">
        <v>616</v>
      </c>
      <c r="B607" s="23" t="s">
        <v>3178</v>
      </c>
      <c r="C607" s="32" t="s">
        <v>29</v>
      </c>
      <c r="E607" s="23">
        <v>834</v>
      </c>
      <c r="F607" s="23">
        <v>137</v>
      </c>
      <c r="G607" s="23">
        <v>72</v>
      </c>
      <c r="H607" s="23">
        <v>140</v>
      </c>
      <c r="K607" s="23" t="s">
        <v>337</v>
      </c>
      <c r="L607" s="23">
        <v>5</v>
      </c>
      <c r="M607" s="23">
        <v>3</v>
      </c>
      <c r="N607" s="32" t="s">
        <v>810</v>
      </c>
      <c r="P607" s="32" t="s">
        <v>3333</v>
      </c>
    </row>
    <row r="608" spans="1:16" x14ac:dyDescent="0.45">
      <c r="A608" s="23">
        <v>617</v>
      </c>
      <c r="B608" s="23" t="s">
        <v>3179</v>
      </c>
      <c r="C608" s="32" t="s">
        <v>29</v>
      </c>
      <c r="E608" s="23">
        <v>2441</v>
      </c>
      <c r="F608" s="23">
        <v>190</v>
      </c>
      <c r="G608" s="23">
        <v>220</v>
      </c>
      <c r="H608" s="23">
        <v>120</v>
      </c>
      <c r="M608" s="23">
        <v>3</v>
      </c>
      <c r="N608" s="32" t="s">
        <v>10</v>
      </c>
      <c r="P608" s="37" t="s">
        <v>3334</v>
      </c>
    </row>
    <row r="609" spans="1:16" x14ac:dyDescent="0.45">
      <c r="A609" s="23">
        <v>622</v>
      </c>
      <c r="B609" s="23" t="s">
        <v>361</v>
      </c>
      <c r="C609" s="35" t="s">
        <v>3</v>
      </c>
      <c r="D609" s="34" t="s">
        <v>16</v>
      </c>
      <c r="E609" s="23">
        <v>1189</v>
      </c>
      <c r="F609" s="23">
        <v>153</v>
      </c>
      <c r="G609" s="23">
        <v>127</v>
      </c>
      <c r="H609" s="23">
        <v>92</v>
      </c>
      <c r="K609" s="23" t="s">
        <v>337</v>
      </c>
      <c r="L609" s="23">
        <v>10</v>
      </c>
      <c r="M609" s="23">
        <v>5</v>
      </c>
      <c r="N609" s="34" t="s">
        <v>358</v>
      </c>
      <c r="P609" s="28" t="s">
        <v>360</v>
      </c>
    </row>
    <row r="610" spans="1:16" x14ac:dyDescent="0.45">
      <c r="A610" s="23">
        <v>623</v>
      </c>
      <c r="B610" s="23" t="s">
        <v>359</v>
      </c>
      <c r="C610" s="35" t="s">
        <v>3</v>
      </c>
      <c r="D610" s="34" t="s">
        <v>16</v>
      </c>
      <c r="E610" s="23">
        <v>2854</v>
      </c>
      <c r="F610" s="23">
        <v>205</v>
      </c>
      <c r="G610" s="23">
        <v>222</v>
      </c>
      <c r="H610" s="23">
        <v>154</v>
      </c>
      <c r="K610" s="23" t="s">
        <v>337</v>
      </c>
      <c r="M610" s="23">
        <v>5</v>
      </c>
      <c r="N610" s="34" t="s">
        <v>358</v>
      </c>
      <c r="P610" s="34" t="s">
        <v>357</v>
      </c>
    </row>
    <row r="611" spans="1:16" x14ac:dyDescent="0.45">
      <c r="A611" s="23">
        <v>631</v>
      </c>
      <c r="B611" s="23" t="s">
        <v>356</v>
      </c>
      <c r="C611" s="33" t="s">
        <v>22</v>
      </c>
      <c r="E611" s="23">
        <v>2395</v>
      </c>
      <c r="F611" s="23">
        <v>198</v>
      </c>
      <c r="G611" s="23">
        <v>204</v>
      </c>
      <c r="H611" s="23">
        <v>129</v>
      </c>
      <c r="K611" s="23" t="s">
        <v>337</v>
      </c>
      <c r="L611" s="23">
        <v>5</v>
      </c>
      <c r="M611" s="23">
        <v>3</v>
      </c>
      <c r="N611" s="34" t="s">
        <v>355</v>
      </c>
      <c r="P611" s="33" t="s">
        <v>354</v>
      </c>
    </row>
    <row r="612" spans="1:16" x14ac:dyDescent="0.45">
      <c r="A612" s="23">
        <v>632</v>
      </c>
      <c r="B612" s="23" t="s">
        <v>150</v>
      </c>
      <c r="C612" s="32" t="s">
        <v>29</v>
      </c>
      <c r="D612" s="26" t="s">
        <v>4</v>
      </c>
      <c r="E612" s="23">
        <v>2659</v>
      </c>
      <c r="F612" s="23">
        <v>151</v>
      </c>
      <c r="G612" s="23">
        <v>217</v>
      </c>
      <c r="H612" s="23">
        <v>188</v>
      </c>
      <c r="K612" s="23" t="s">
        <v>337</v>
      </c>
      <c r="L612" s="23">
        <v>5</v>
      </c>
      <c r="M612" s="23">
        <v>3</v>
      </c>
      <c r="N612" s="32" t="s">
        <v>353</v>
      </c>
      <c r="P612" s="26" t="s">
        <v>352</v>
      </c>
    </row>
    <row r="613" spans="1:16" x14ac:dyDescent="0.45">
      <c r="A613" s="23">
        <v>633</v>
      </c>
      <c r="B613" s="23" t="s">
        <v>351</v>
      </c>
      <c r="C613" s="30" t="s">
        <v>90</v>
      </c>
      <c r="D613" s="29" t="s">
        <v>78</v>
      </c>
      <c r="E613" s="23">
        <v>1062</v>
      </c>
      <c r="F613" s="23">
        <v>141</v>
      </c>
      <c r="G613" s="23">
        <v>116</v>
      </c>
      <c r="H613" s="23">
        <v>93</v>
      </c>
      <c r="K613" s="23" t="s">
        <v>337</v>
      </c>
      <c r="L613" s="23">
        <v>10</v>
      </c>
      <c r="M613" s="23">
        <v>5</v>
      </c>
      <c r="N613" s="31" t="s">
        <v>350</v>
      </c>
      <c r="P613" s="29" t="s">
        <v>349</v>
      </c>
    </row>
    <row r="614" spans="1:16" x14ac:dyDescent="0.45">
      <c r="A614" s="23">
        <v>634</v>
      </c>
      <c r="B614" s="23" t="s">
        <v>348</v>
      </c>
      <c r="C614" s="30" t="s">
        <v>90</v>
      </c>
      <c r="D614" s="29" t="s">
        <v>78</v>
      </c>
      <c r="E614" s="23">
        <v>1839</v>
      </c>
      <c r="F614" s="23">
        <v>176</v>
      </c>
      <c r="G614" s="23">
        <v>159</v>
      </c>
      <c r="H614" s="23">
        <v>135</v>
      </c>
      <c r="K614" s="23" t="s">
        <v>337</v>
      </c>
      <c r="M614" s="23">
        <v>5</v>
      </c>
      <c r="N614" s="29" t="s">
        <v>345</v>
      </c>
      <c r="P614" s="29" t="s">
        <v>347</v>
      </c>
    </row>
    <row r="615" spans="1:16" x14ac:dyDescent="0.45">
      <c r="A615" s="23">
        <v>635</v>
      </c>
      <c r="B615" s="23" t="s">
        <v>346</v>
      </c>
      <c r="C615" s="30" t="s">
        <v>90</v>
      </c>
      <c r="D615" s="29" t="s">
        <v>78</v>
      </c>
      <c r="E615" s="23">
        <v>3625</v>
      </c>
      <c r="F615" s="23">
        <v>211</v>
      </c>
      <c r="G615" s="23">
        <v>256</v>
      </c>
      <c r="H615" s="23">
        <v>188</v>
      </c>
      <c r="M615" s="23">
        <v>5</v>
      </c>
      <c r="N615" s="29" t="s">
        <v>345</v>
      </c>
      <c r="P615" s="29" t="s">
        <v>344</v>
      </c>
    </row>
    <row r="616" spans="1:16" x14ac:dyDescent="0.45">
      <c r="A616" s="23">
        <v>638</v>
      </c>
      <c r="B616" s="23" t="s">
        <v>343</v>
      </c>
      <c r="C616" s="28" t="s">
        <v>47</v>
      </c>
      <c r="D616" s="26" t="s">
        <v>4</v>
      </c>
      <c r="E616" s="23">
        <v>3022</v>
      </c>
      <c r="F616" s="23">
        <v>209</v>
      </c>
      <c r="G616" s="23">
        <v>192</v>
      </c>
      <c r="H616" s="23">
        <v>229</v>
      </c>
      <c r="M616" s="23">
        <v>20</v>
      </c>
      <c r="N616" s="27" t="s">
        <v>342</v>
      </c>
      <c r="P616" s="26" t="s">
        <v>341</v>
      </c>
    </row>
    <row r="617" spans="1:16" x14ac:dyDescent="0.45">
      <c r="A617" s="23">
        <v>639</v>
      </c>
      <c r="B617" s="23" t="s">
        <v>1747</v>
      </c>
      <c r="C617" s="28" t="s">
        <v>47</v>
      </c>
      <c r="D617" s="41" t="s">
        <v>43</v>
      </c>
      <c r="E617" s="23">
        <v>3698</v>
      </c>
      <c r="F617" s="23">
        <v>209</v>
      </c>
      <c r="G617" s="23">
        <v>260</v>
      </c>
      <c r="H617" s="23">
        <v>192</v>
      </c>
      <c r="M617" s="23">
        <v>20</v>
      </c>
      <c r="N617" s="41" t="s">
        <v>657</v>
      </c>
      <c r="P617" s="41" t="s">
        <v>1766</v>
      </c>
    </row>
    <row r="618" spans="1:16" x14ac:dyDescent="0.45">
      <c r="A618" s="23">
        <v>640</v>
      </c>
      <c r="B618" s="23" t="s">
        <v>2603</v>
      </c>
      <c r="C618" s="28" t="s">
        <v>47</v>
      </c>
      <c r="D618" s="36" t="s">
        <v>12</v>
      </c>
      <c r="E618" s="23">
        <v>3022</v>
      </c>
      <c r="F618" s="23">
        <v>209</v>
      </c>
      <c r="G618" s="23">
        <v>192</v>
      </c>
      <c r="H618" s="23">
        <v>229</v>
      </c>
      <c r="M618" s="23">
        <v>20</v>
      </c>
      <c r="N618" s="27" t="s">
        <v>2605</v>
      </c>
      <c r="P618" s="28" t="s">
        <v>2613</v>
      </c>
    </row>
    <row r="619" spans="1:16" x14ac:dyDescent="0.45">
      <c r="A619" s="23">
        <v>808</v>
      </c>
      <c r="B619" s="23" t="s">
        <v>340</v>
      </c>
      <c r="C619" s="26" t="s">
        <v>4</v>
      </c>
      <c r="E619" s="23">
        <v>1068</v>
      </c>
      <c r="F619" s="23">
        <v>130</v>
      </c>
      <c r="G619" s="23">
        <v>118</v>
      </c>
      <c r="H619" s="23">
        <v>99</v>
      </c>
      <c r="I619" s="23" t="s">
        <v>337</v>
      </c>
      <c r="M619" s="23">
        <v>20</v>
      </c>
      <c r="N619" s="25" t="s">
        <v>115</v>
      </c>
      <c r="P619" s="25" t="s">
        <v>339</v>
      </c>
    </row>
    <row r="620" spans="1:16" x14ac:dyDescent="0.45">
      <c r="A620" s="23">
        <v>809</v>
      </c>
      <c r="B620" s="23" t="s">
        <v>338</v>
      </c>
      <c r="C620" s="26" t="s">
        <v>4</v>
      </c>
      <c r="E620" s="23">
        <v>3599</v>
      </c>
      <c r="F620" s="23">
        <v>264</v>
      </c>
      <c r="G620" s="23">
        <v>226</v>
      </c>
      <c r="H620" s="23">
        <v>190</v>
      </c>
      <c r="I620" s="23" t="s">
        <v>337</v>
      </c>
      <c r="M620" s="23">
        <v>20</v>
      </c>
      <c r="N620" s="25" t="s">
        <v>115</v>
      </c>
      <c r="P620" s="25" t="s">
        <v>1794</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O612"/>
  <sheetViews>
    <sheetView zoomScale="90" zoomScaleNormal="90" workbookViewId="0">
      <pane xSplit="3" ySplit="2" topLeftCell="AP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50" customWidth="1"/>
    <col min="11" max="11" width="6" style="50" customWidth="1"/>
    <col min="12" max="12" width="6" style="49" customWidth="1"/>
    <col min="13" max="14" width="6" style="48" customWidth="1"/>
    <col min="15" max="15" width="6.77734375" style="47" customWidth="1"/>
    <col min="16" max="16" width="6.33203125" style="46" customWidth="1"/>
    <col min="17" max="17" width="11.5546875" style="1" customWidth="1"/>
    <col min="18" max="18" width="5.33203125" style="4" customWidth="1"/>
    <col min="19" max="19" width="11.5546875" style="1" customWidth="1"/>
    <col min="20" max="20" width="5.33203125" style="4" customWidth="1"/>
    <col min="21" max="21" width="11.5546875" style="1" customWidth="1"/>
    <col min="22" max="22" width="5.33203125" style="4" customWidth="1"/>
    <col min="23" max="23" width="11.5546875" style="1" customWidth="1"/>
    <col min="24" max="24" width="5.33203125" style="4" customWidth="1"/>
    <col min="25" max="25" width="11.6640625" style="1" customWidth="1"/>
    <col min="26" max="26" width="5.33203125" style="4" customWidth="1"/>
    <col min="27" max="28" width="11.5546875" style="1" customWidth="1"/>
    <col min="29" max="29" width="5.33203125" style="4" customWidth="1"/>
    <col min="30" max="31" width="11.5546875" style="1" customWidth="1"/>
    <col min="32" max="32" width="5.33203125" style="4" customWidth="1"/>
    <col min="33" max="34" width="11.5546875" style="1" customWidth="1"/>
    <col min="35" max="35" width="5.33203125" style="4" customWidth="1"/>
    <col min="36" max="37" width="11.5546875" style="1" customWidth="1"/>
    <col min="38" max="38" width="5.33203125" style="4" customWidth="1"/>
    <col min="39" max="40" width="11.5546875" style="1" customWidth="1"/>
    <col min="41" max="41" width="5.33203125" style="4" customWidth="1"/>
    <col min="42" max="42" width="7.6640625" style="46" customWidth="1"/>
    <col min="43" max="43" width="11.5546875" style="1" customWidth="1"/>
    <col min="44" max="44" width="5.33203125" style="4" customWidth="1"/>
    <col min="45" max="45" width="11.5546875" style="1" customWidth="1"/>
    <col min="46" max="46" width="5.33203125" style="4" customWidth="1"/>
    <col min="47" max="47" width="11.5546875" style="1" customWidth="1"/>
    <col min="48" max="48" width="5.33203125" style="4" customWidth="1"/>
    <col min="49" max="49" width="11.5546875" style="1" customWidth="1"/>
    <col min="50" max="50" width="5.33203125" style="4" customWidth="1"/>
    <col min="51" max="51" width="11.6640625" style="1" customWidth="1"/>
    <col min="52" max="52" width="5.33203125" style="4" customWidth="1"/>
    <col min="53" max="54" width="11.5546875" style="1" customWidth="1"/>
    <col min="55" max="55" width="5.33203125" style="4" customWidth="1"/>
    <col min="56" max="57" width="11.5546875" style="1" customWidth="1"/>
    <col min="58" max="58" width="5.33203125" style="4" customWidth="1"/>
    <col min="59" max="60" width="11.5546875" style="1" customWidth="1"/>
    <col min="61" max="61" width="5.33203125" style="4" customWidth="1"/>
    <col min="62" max="63" width="11.5546875" style="1" customWidth="1"/>
    <col min="64" max="64" width="5.33203125" style="4" customWidth="1"/>
    <col min="65" max="66" width="11.5546875" style="1" customWidth="1"/>
    <col min="67" max="67" width="5.33203125" style="4" customWidth="1"/>
    <col min="68" max="16384" width="8.88671875" style="1"/>
  </cols>
  <sheetData>
    <row r="1" spans="1:67" s="278" customFormat="1" x14ac:dyDescent="0.45">
      <c r="A1" s="271"/>
      <c r="B1" s="271"/>
      <c r="C1" s="271"/>
      <c r="D1" s="271" t="s">
        <v>3495</v>
      </c>
      <c r="E1" s="271"/>
      <c r="F1" s="271" t="s">
        <v>3468</v>
      </c>
      <c r="G1" s="271"/>
      <c r="H1" s="271"/>
      <c r="I1" s="272" t="s">
        <v>3498</v>
      </c>
      <c r="J1" s="272"/>
      <c r="K1" s="272"/>
      <c r="L1" s="273"/>
      <c r="M1" s="273"/>
      <c r="N1" s="273"/>
      <c r="O1" s="274"/>
      <c r="P1" s="341" t="s">
        <v>3490</v>
      </c>
      <c r="Q1" s="275" t="s">
        <v>3491</v>
      </c>
      <c r="R1" s="276"/>
      <c r="S1" s="275" t="s">
        <v>3489</v>
      </c>
      <c r="T1" s="276"/>
      <c r="U1" s="275" t="s">
        <v>3482</v>
      </c>
      <c r="V1" s="276"/>
      <c r="W1" s="275" t="s">
        <v>3472</v>
      </c>
      <c r="X1" s="276"/>
      <c r="Y1" s="275" t="s">
        <v>3483</v>
      </c>
      <c r="Z1" s="276"/>
      <c r="AA1" s="275" t="s">
        <v>3484</v>
      </c>
      <c r="AB1" s="275"/>
      <c r="AC1" s="276"/>
      <c r="AD1" s="275" t="s">
        <v>3434</v>
      </c>
      <c r="AE1" s="275"/>
      <c r="AF1" s="276"/>
      <c r="AG1" s="275" t="s">
        <v>3499</v>
      </c>
      <c r="AH1" s="275"/>
      <c r="AI1" s="276"/>
      <c r="AJ1" s="275" t="s">
        <v>3500</v>
      </c>
      <c r="AK1" s="275"/>
      <c r="AL1" s="276"/>
      <c r="AM1" s="275" t="s">
        <v>3470</v>
      </c>
      <c r="AN1" s="275"/>
      <c r="AO1" s="276"/>
      <c r="AP1" s="363" t="s">
        <v>2533</v>
      </c>
      <c r="AQ1" s="364" t="s">
        <v>3487</v>
      </c>
      <c r="AR1" s="365"/>
      <c r="AS1" s="364" t="s">
        <v>3488</v>
      </c>
      <c r="AT1" s="365"/>
      <c r="AU1" s="364" t="s">
        <v>3471</v>
      </c>
      <c r="AV1" s="365"/>
      <c r="AW1" s="364" t="s">
        <v>3501</v>
      </c>
      <c r="AX1" s="365"/>
      <c r="AY1" s="364" t="s">
        <v>3435</v>
      </c>
      <c r="AZ1" s="365"/>
      <c r="BA1" s="364" t="s">
        <v>3502</v>
      </c>
      <c r="BB1" s="364"/>
      <c r="BC1" s="365"/>
      <c r="BD1" s="364" t="s">
        <v>3493</v>
      </c>
      <c r="BE1" s="364"/>
      <c r="BF1" s="365"/>
      <c r="BG1" s="364" t="s">
        <v>3436</v>
      </c>
      <c r="BH1" s="364"/>
      <c r="BI1" s="365"/>
      <c r="BJ1" s="364" t="s">
        <v>3503</v>
      </c>
      <c r="BK1" s="364"/>
      <c r="BL1" s="365"/>
      <c r="BM1" s="364" t="s">
        <v>3504</v>
      </c>
      <c r="BN1" s="364"/>
      <c r="BO1" s="365"/>
    </row>
    <row r="2" spans="1:67" x14ac:dyDescent="0.45">
      <c r="A2" s="82" t="s">
        <v>2104</v>
      </c>
      <c r="B2" s="82" t="s">
        <v>1809</v>
      </c>
      <c r="C2" s="82" t="s">
        <v>3494</v>
      </c>
      <c r="D2" s="82" t="s">
        <v>3496</v>
      </c>
      <c r="E2" s="82" t="s">
        <v>3492</v>
      </c>
      <c r="F2" s="82" t="s">
        <v>3497</v>
      </c>
      <c r="G2" s="82" t="s">
        <v>3469</v>
      </c>
      <c r="H2" s="82" t="s">
        <v>3480</v>
      </c>
      <c r="I2" s="62" t="s">
        <v>3485</v>
      </c>
      <c r="J2" s="62" t="s">
        <v>3430</v>
      </c>
      <c r="K2" s="62" t="s">
        <v>3431</v>
      </c>
      <c r="L2" s="49" t="s">
        <v>3486</v>
      </c>
      <c r="M2" s="49" t="s">
        <v>3432</v>
      </c>
      <c r="N2" s="49" t="s">
        <v>3433</v>
      </c>
      <c r="O2" s="86" t="s">
        <v>3481</v>
      </c>
      <c r="P2" s="85" t="s">
        <v>3789</v>
      </c>
      <c r="Q2" s="84" t="s">
        <v>3790</v>
      </c>
      <c r="R2" s="83" t="s">
        <v>3791</v>
      </c>
      <c r="S2" s="84" t="s">
        <v>3792</v>
      </c>
      <c r="T2" s="83" t="s">
        <v>3793</v>
      </c>
      <c r="U2" s="84" t="s">
        <v>3794</v>
      </c>
      <c r="V2" s="83" t="s">
        <v>3795</v>
      </c>
      <c r="W2" s="84" t="s">
        <v>3796</v>
      </c>
      <c r="X2" s="83" t="s">
        <v>3797</v>
      </c>
      <c r="Y2" s="84" t="s">
        <v>3798</v>
      </c>
      <c r="Z2" s="83" t="s">
        <v>3799</v>
      </c>
      <c r="AA2" s="84" t="s">
        <v>3800</v>
      </c>
      <c r="AB2" s="84" t="s">
        <v>3801</v>
      </c>
      <c r="AC2" s="83" t="s">
        <v>3802</v>
      </c>
      <c r="AD2" s="84" t="s">
        <v>3803</v>
      </c>
      <c r="AE2" s="84" t="s">
        <v>3804</v>
      </c>
      <c r="AF2" s="83" t="s">
        <v>3805</v>
      </c>
      <c r="AG2" s="84" t="s">
        <v>3806</v>
      </c>
      <c r="AH2" s="84" t="s">
        <v>3807</v>
      </c>
      <c r="AI2" s="83" t="s">
        <v>3808</v>
      </c>
      <c r="AJ2" s="84" t="s">
        <v>3809</v>
      </c>
      <c r="AK2" s="84" t="s">
        <v>3810</v>
      </c>
      <c r="AL2" s="83" t="s">
        <v>3811</v>
      </c>
      <c r="AM2" s="84" t="s">
        <v>3812</v>
      </c>
      <c r="AN2" s="84" t="s">
        <v>3707</v>
      </c>
      <c r="AO2" s="83" t="s">
        <v>3813</v>
      </c>
      <c r="AP2" s="366" t="s">
        <v>3814</v>
      </c>
      <c r="AQ2" s="367" t="s">
        <v>3815</v>
      </c>
      <c r="AR2" s="368" t="s">
        <v>3816</v>
      </c>
      <c r="AS2" s="367" t="s">
        <v>3817</v>
      </c>
      <c r="AT2" s="368" t="s">
        <v>3818</v>
      </c>
      <c r="AU2" s="367" t="s">
        <v>3819</v>
      </c>
      <c r="AV2" s="368" t="s">
        <v>3820</v>
      </c>
      <c r="AW2" s="367" t="s">
        <v>3821</v>
      </c>
      <c r="AX2" s="368" t="s">
        <v>3822</v>
      </c>
      <c r="AY2" s="367" t="s">
        <v>3823</v>
      </c>
      <c r="AZ2" s="368" t="s">
        <v>3824</v>
      </c>
      <c r="BA2" s="367" t="s">
        <v>3825</v>
      </c>
      <c r="BB2" s="367" t="s">
        <v>3826</v>
      </c>
      <c r="BC2" s="368" t="s">
        <v>3827</v>
      </c>
      <c r="BD2" s="367" t="s">
        <v>3828</v>
      </c>
      <c r="BE2" s="367" t="s">
        <v>3829</v>
      </c>
      <c r="BF2" s="368" t="s">
        <v>3830</v>
      </c>
      <c r="BG2" s="367" t="s">
        <v>3831</v>
      </c>
      <c r="BH2" s="367" t="s">
        <v>3832</v>
      </c>
      <c r="BI2" s="368" t="s">
        <v>3833</v>
      </c>
      <c r="BJ2" s="367" t="s">
        <v>3834</v>
      </c>
      <c r="BK2" s="367" t="s">
        <v>3835</v>
      </c>
      <c r="BL2" s="368" t="s">
        <v>3836</v>
      </c>
      <c r="BM2" s="367" t="s">
        <v>3837</v>
      </c>
      <c r="BN2" s="367" t="s">
        <v>3838</v>
      </c>
      <c r="BO2" s="368" t="s">
        <v>3839</v>
      </c>
    </row>
    <row r="3" spans="1:67" x14ac:dyDescent="0.45">
      <c r="A3" s="1">
        <v>1</v>
      </c>
      <c r="B3" s="1" t="s">
        <v>1470</v>
      </c>
      <c r="C3" s="54" t="s">
        <v>2105</v>
      </c>
      <c r="D3" s="81"/>
      <c r="E3" s="16" t="s">
        <v>2194</v>
      </c>
      <c r="F3" s="55" t="s">
        <v>2195</v>
      </c>
      <c r="G3" s="72" t="s">
        <v>1983</v>
      </c>
      <c r="I3" s="50">
        <v>105.10990133000001</v>
      </c>
      <c r="J3" s="50">
        <v>99.577801260000001</v>
      </c>
      <c r="K3" s="50">
        <v>113.01290143000001</v>
      </c>
      <c r="L3" s="49">
        <v>1115.0360459721664</v>
      </c>
      <c r="M3" s="48">
        <v>1118.4660101913721</v>
      </c>
      <c r="N3" s="48">
        <v>1121.2175766716848</v>
      </c>
      <c r="O3" s="47">
        <v>10.234452010141622</v>
      </c>
      <c r="Q3" s="72" t="s">
        <v>24</v>
      </c>
      <c r="R3" s="4">
        <v>5.4146158558600002</v>
      </c>
      <c r="S3" s="72" t="s">
        <v>24</v>
      </c>
      <c r="T3" s="4">
        <v>9.0243597597666678</v>
      </c>
      <c r="U3" s="15" t="s">
        <v>2396</v>
      </c>
      <c r="V3" s="4">
        <v>10</v>
      </c>
      <c r="W3" s="72" t="s">
        <v>1485</v>
      </c>
      <c r="X3" s="4">
        <v>57.759346718200007</v>
      </c>
      <c r="Y3" s="15" t="s">
        <v>52</v>
      </c>
      <c r="Z3" s="4">
        <v>27.706046761071434</v>
      </c>
      <c r="AA3" s="72" t="s">
        <v>24</v>
      </c>
      <c r="AB3" s="72" t="s">
        <v>1485</v>
      </c>
      <c r="AC3" s="4">
        <v>13.536992831188597</v>
      </c>
      <c r="AD3" s="72" t="s">
        <v>24</v>
      </c>
      <c r="AE3" s="54" t="s">
        <v>124</v>
      </c>
      <c r="AF3" s="4">
        <v>13.229390607840184</v>
      </c>
      <c r="AG3" s="15" t="s">
        <v>127</v>
      </c>
      <c r="AH3" s="72" t="s">
        <v>1485</v>
      </c>
      <c r="AI3" s="4">
        <v>12.373266059302633</v>
      </c>
      <c r="AJ3" s="72" t="s">
        <v>24</v>
      </c>
      <c r="AK3" s="15" t="s">
        <v>52</v>
      </c>
      <c r="AL3" s="4">
        <v>12.266636016191462</v>
      </c>
      <c r="AM3" s="72" t="s">
        <v>24</v>
      </c>
      <c r="AN3" s="72" t="s">
        <v>264</v>
      </c>
      <c r="AO3" s="4">
        <v>12.104441712537833</v>
      </c>
      <c r="AQ3" s="72" t="s">
        <v>24</v>
      </c>
      <c r="AR3" s="4">
        <v>5.0992861518700003</v>
      </c>
      <c r="AS3" s="15" t="s">
        <v>127</v>
      </c>
      <c r="AT3" s="4">
        <v>3.0496430759350002</v>
      </c>
      <c r="AU3" s="72" t="s">
        <v>24</v>
      </c>
      <c r="AV3" s="4">
        <v>4</v>
      </c>
      <c r="AW3" s="15" t="s">
        <v>52</v>
      </c>
      <c r="AX3" s="4">
        <v>89.817866623850009</v>
      </c>
      <c r="AY3" s="72" t="s">
        <v>1485</v>
      </c>
      <c r="AZ3" s="4">
        <v>1.4957430146732003</v>
      </c>
      <c r="BA3" s="72" t="s">
        <v>24</v>
      </c>
      <c r="BB3" s="72" t="s">
        <v>1485</v>
      </c>
      <c r="BC3" s="4">
        <v>7.9005695690998161</v>
      </c>
      <c r="BD3" s="72" t="s">
        <v>24</v>
      </c>
      <c r="BE3" s="54" t="s">
        <v>124</v>
      </c>
      <c r="BF3" s="4">
        <v>7.2932679169709269</v>
      </c>
      <c r="BG3" s="72" t="s">
        <v>24</v>
      </c>
      <c r="BH3" s="15" t="s">
        <v>52</v>
      </c>
      <c r="BI3" s="4">
        <v>7.2668443487952707</v>
      </c>
      <c r="BJ3" s="72" t="s">
        <v>24</v>
      </c>
      <c r="BK3" s="72" t="s">
        <v>264</v>
      </c>
      <c r="BL3" s="4">
        <v>6.5080525845381825</v>
      </c>
      <c r="BM3" s="15" t="s">
        <v>127</v>
      </c>
      <c r="BN3" s="72" t="s">
        <v>1485</v>
      </c>
      <c r="BO3" s="4">
        <v>5.8087779858475006</v>
      </c>
    </row>
    <row r="4" spans="1:67" x14ac:dyDescent="0.45">
      <c r="A4" s="10">
        <v>2</v>
      </c>
      <c r="B4" s="10" t="s">
        <v>1469</v>
      </c>
      <c r="C4" s="63" t="s">
        <v>2106</v>
      </c>
      <c r="D4" s="65"/>
      <c r="E4" s="287" t="s">
        <v>2196</v>
      </c>
      <c r="F4" s="58" t="s">
        <v>2197</v>
      </c>
      <c r="G4" s="79" t="s">
        <v>1983</v>
      </c>
      <c r="H4" s="10"/>
      <c r="I4" s="62">
        <v>131.18980166</v>
      </c>
      <c r="J4" s="62">
        <v>124.86740158000001</v>
      </c>
      <c r="K4" s="62">
        <v>134.35100170000001</v>
      </c>
      <c r="L4" s="49">
        <v>1699.2022210562259</v>
      </c>
      <c r="M4" s="49">
        <v>1691.9727819625491</v>
      </c>
      <c r="N4" s="49">
        <v>1686.2113830455096</v>
      </c>
      <c r="O4" s="61">
        <v>14.91381158204544</v>
      </c>
      <c r="P4" s="60"/>
      <c r="Q4" s="72" t="s">
        <v>64</v>
      </c>
      <c r="R4" s="9">
        <v>11.232804529479999</v>
      </c>
      <c r="S4" s="72" t="s">
        <v>64</v>
      </c>
      <c r="T4" s="9">
        <v>11.232804529479999</v>
      </c>
      <c r="U4" s="72" t="s">
        <v>24</v>
      </c>
      <c r="V4" s="9">
        <v>10</v>
      </c>
      <c r="W4" s="79" t="s">
        <v>9</v>
      </c>
      <c r="X4" s="9">
        <v>142.68498579280001</v>
      </c>
      <c r="Y4" s="64" t="s">
        <v>52</v>
      </c>
      <c r="Z4" s="9">
        <v>34.226021843571431</v>
      </c>
      <c r="AA4" s="72" t="s">
        <v>24</v>
      </c>
      <c r="AB4" s="72" t="s">
        <v>9</v>
      </c>
      <c r="AC4" s="9">
        <v>16.778443985300662</v>
      </c>
      <c r="AD4" s="79" t="s">
        <v>24</v>
      </c>
      <c r="AE4" s="79" t="s">
        <v>1485</v>
      </c>
      <c r="AF4" s="9">
        <v>16.591086422464912</v>
      </c>
      <c r="AG4" s="72" t="s">
        <v>24</v>
      </c>
      <c r="AH4" s="54" t="s">
        <v>124</v>
      </c>
      <c r="AI4" s="9">
        <v>16.19463954947032</v>
      </c>
      <c r="AJ4" s="72" t="s">
        <v>64</v>
      </c>
      <c r="AK4" s="79" t="s">
        <v>9</v>
      </c>
      <c r="AL4" s="9">
        <v>15.637037876130655</v>
      </c>
      <c r="AM4" s="72" t="s">
        <v>64</v>
      </c>
      <c r="AN4" s="72" t="s">
        <v>1485</v>
      </c>
      <c r="AO4" s="9">
        <v>15.609056843824046</v>
      </c>
      <c r="AP4" s="60"/>
      <c r="AQ4" s="72" t="s">
        <v>64</v>
      </c>
      <c r="AR4" s="9">
        <v>12.256084982428</v>
      </c>
      <c r="AS4" s="72" t="s">
        <v>64</v>
      </c>
      <c r="AT4" s="9">
        <v>6.1280424912139999</v>
      </c>
      <c r="AU4" s="79" t="s">
        <v>24</v>
      </c>
      <c r="AV4" s="9">
        <v>4</v>
      </c>
      <c r="AW4" s="72" t="s">
        <v>9</v>
      </c>
      <c r="AX4" s="9">
        <v>154.49206794220001</v>
      </c>
      <c r="AY4" s="79" t="s">
        <v>9</v>
      </c>
      <c r="AZ4" s="9">
        <v>1.9311508492775</v>
      </c>
      <c r="BA4" s="79" t="s">
        <v>24</v>
      </c>
      <c r="BB4" s="79" t="s">
        <v>9</v>
      </c>
      <c r="BC4" s="9">
        <v>10.269337647123811</v>
      </c>
      <c r="BD4" s="79" t="s">
        <v>64</v>
      </c>
      <c r="BE4" s="79" t="s">
        <v>9</v>
      </c>
      <c r="BF4" s="9">
        <v>9.7466772583112196</v>
      </c>
      <c r="BG4" s="79" t="s">
        <v>24</v>
      </c>
      <c r="BH4" s="72" t="s">
        <v>1485</v>
      </c>
      <c r="BI4" s="9">
        <v>9.7276114755514822</v>
      </c>
      <c r="BJ4" s="72" t="s">
        <v>64</v>
      </c>
      <c r="BK4" s="79" t="s">
        <v>1485</v>
      </c>
      <c r="BL4" s="9">
        <v>9.4729347325257685</v>
      </c>
      <c r="BM4" s="72" t="s">
        <v>64</v>
      </c>
      <c r="BN4" s="63" t="s">
        <v>124</v>
      </c>
      <c r="BO4" s="9">
        <v>9.0793653275457693</v>
      </c>
    </row>
    <row r="5" spans="1:67" x14ac:dyDescent="0.45">
      <c r="A5" s="10">
        <v>3</v>
      </c>
      <c r="B5" s="10" t="s">
        <v>1468</v>
      </c>
      <c r="C5" s="63" t="s">
        <v>2106</v>
      </c>
      <c r="D5" s="65"/>
      <c r="E5" s="287" t="s">
        <v>2196</v>
      </c>
      <c r="F5" s="58" t="s">
        <v>2197</v>
      </c>
      <c r="G5" s="79" t="s">
        <v>1983</v>
      </c>
      <c r="H5" s="10"/>
      <c r="I5" s="62">
        <v>168.33390213000001</v>
      </c>
      <c r="J5" s="62">
        <v>161.22120204000001</v>
      </c>
      <c r="K5" s="62">
        <v>162.01150205000002</v>
      </c>
      <c r="L5" s="49">
        <v>2720.5429870829294</v>
      </c>
      <c r="M5" s="49">
        <v>2683.8592076917462</v>
      </c>
      <c r="N5" s="49">
        <v>2654.8686491532617</v>
      </c>
      <c r="O5" s="61">
        <v>22.493293318207254</v>
      </c>
      <c r="P5" s="60"/>
      <c r="Q5" s="72" t="s">
        <v>64</v>
      </c>
      <c r="R5" s="9">
        <v>14.13004436614</v>
      </c>
      <c r="S5" s="72" t="s">
        <v>64</v>
      </c>
      <c r="T5" s="9">
        <v>14.13004436614</v>
      </c>
      <c r="U5" s="72" t="s">
        <v>24</v>
      </c>
      <c r="V5" s="9">
        <v>10</v>
      </c>
      <c r="W5" s="79" t="s">
        <v>9</v>
      </c>
      <c r="X5" s="9">
        <v>182.80061430040001</v>
      </c>
      <c r="Y5" s="64" t="s">
        <v>52</v>
      </c>
      <c r="Z5" s="9">
        <v>43.512046961071434</v>
      </c>
      <c r="AA5" s="72" t="s">
        <v>24</v>
      </c>
      <c r="AB5" s="72" t="s">
        <v>1565</v>
      </c>
      <c r="AC5" s="9">
        <v>22.269807941688597</v>
      </c>
      <c r="AD5" s="79" t="s">
        <v>24</v>
      </c>
      <c r="AE5" s="79" t="s">
        <v>9</v>
      </c>
      <c r="AF5" s="9">
        <v>21.19145830604106</v>
      </c>
      <c r="AG5" s="72" t="s">
        <v>64</v>
      </c>
      <c r="AH5" s="72" t="s">
        <v>1565</v>
      </c>
      <c r="AI5" s="9">
        <v>20.828513302829911</v>
      </c>
      <c r="AJ5" s="72" t="s">
        <v>24</v>
      </c>
      <c r="AK5" s="63" t="s">
        <v>124</v>
      </c>
      <c r="AL5" s="9">
        <v>20.417872890579911</v>
      </c>
      <c r="AM5" s="72" t="s">
        <v>64</v>
      </c>
      <c r="AN5" s="72" t="s">
        <v>9</v>
      </c>
      <c r="AO5" s="9">
        <v>19.836747728266332</v>
      </c>
      <c r="AP5" s="60"/>
      <c r="AQ5" s="72" t="s">
        <v>64</v>
      </c>
      <c r="AR5" s="9">
        <v>15.443048802754001</v>
      </c>
      <c r="AS5" s="72" t="s">
        <v>64</v>
      </c>
      <c r="AT5" s="9">
        <v>7.7215244013770006</v>
      </c>
      <c r="AU5" s="79" t="s">
        <v>24</v>
      </c>
      <c r="AV5" s="9">
        <v>4</v>
      </c>
      <c r="AW5" s="72" t="s">
        <v>9</v>
      </c>
      <c r="AX5" s="9">
        <v>197.95066549210003</v>
      </c>
      <c r="AY5" s="79" t="s">
        <v>1565</v>
      </c>
      <c r="AZ5" s="9">
        <v>2.9400098591422226</v>
      </c>
      <c r="BA5" s="79" t="s">
        <v>24</v>
      </c>
      <c r="BB5" s="79" t="s">
        <v>1565</v>
      </c>
      <c r="BC5" s="9">
        <v>14.273770893156634</v>
      </c>
      <c r="BD5" s="79" t="s">
        <v>24</v>
      </c>
      <c r="BE5" s="79" t="s">
        <v>9</v>
      </c>
      <c r="BF5" s="9">
        <v>13.028613682038095</v>
      </c>
      <c r="BG5" s="79" t="s">
        <v>64</v>
      </c>
      <c r="BH5" s="72" t="s">
        <v>1565</v>
      </c>
      <c r="BI5" s="9">
        <v>13.02275500818649</v>
      </c>
      <c r="BJ5" s="72" t="s">
        <v>64</v>
      </c>
      <c r="BK5" s="79" t="s">
        <v>9</v>
      </c>
      <c r="BL5" s="9">
        <v>12.361259549931221</v>
      </c>
      <c r="BM5" s="72" t="s">
        <v>24</v>
      </c>
      <c r="BN5" s="79" t="s">
        <v>103</v>
      </c>
      <c r="BO5" s="9">
        <v>11.993988015361378</v>
      </c>
    </row>
    <row r="6" spans="1:67" x14ac:dyDescent="0.45">
      <c r="A6" s="10">
        <v>4</v>
      </c>
      <c r="B6" s="10" t="s">
        <v>1467</v>
      </c>
      <c r="C6" s="75" t="s">
        <v>1976</v>
      </c>
      <c r="D6" s="65"/>
      <c r="E6" s="80" t="s">
        <v>2198</v>
      </c>
      <c r="F6" s="289" t="s">
        <v>2199</v>
      </c>
      <c r="G6" s="242"/>
      <c r="H6" s="10"/>
      <c r="I6" s="62">
        <v>103.52930131000001</v>
      </c>
      <c r="J6" s="62">
        <v>85.352401080000007</v>
      </c>
      <c r="K6" s="62">
        <v>105.10990133000001</v>
      </c>
      <c r="L6" s="49">
        <v>980.60243819373022</v>
      </c>
      <c r="M6" s="49">
        <v>951.952114662285</v>
      </c>
      <c r="N6" s="49">
        <v>929.63573658388032</v>
      </c>
      <c r="O6" s="61">
        <v>8.2658705567613318</v>
      </c>
      <c r="P6" s="60"/>
      <c r="Q6" s="70" t="s">
        <v>138</v>
      </c>
      <c r="R6" s="9">
        <v>7.2117580786</v>
      </c>
      <c r="S6" s="15" t="s">
        <v>1489</v>
      </c>
      <c r="T6" s="9">
        <v>8.2117580786000008</v>
      </c>
      <c r="U6" s="70" t="s">
        <v>138</v>
      </c>
      <c r="V6" s="9">
        <v>10</v>
      </c>
      <c r="W6" s="75" t="s">
        <v>2370</v>
      </c>
      <c r="X6" s="9">
        <v>44.482306550200001</v>
      </c>
      <c r="Y6" s="64" t="s">
        <v>52</v>
      </c>
      <c r="Z6" s="9">
        <v>27.310896756071436</v>
      </c>
      <c r="AA6" s="15" t="s">
        <v>1489</v>
      </c>
      <c r="AB6" s="70" t="s">
        <v>76</v>
      </c>
      <c r="AC6" s="9">
        <v>11.337963851059174</v>
      </c>
      <c r="AD6" s="75" t="s">
        <v>138</v>
      </c>
      <c r="AE6" s="75" t="s">
        <v>76</v>
      </c>
      <c r="AF6" s="9">
        <v>11.186263464333333</v>
      </c>
      <c r="AG6" s="15" t="s">
        <v>1489</v>
      </c>
      <c r="AH6" s="15" t="s">
        <v>52</v>
      </c>
      <c r="AI6" s="9">
        <v>10.958894463715755</v>
      </c>
      <c r="AJ6" s="15" t="s">
        <v>1489</v>
      </c>
      <c r="AK6" s="75" t="s">
        <v>280</v>
      </c>
      <c r="AL6" s="9">
        <v>10.825513507508477</v>
      </c>
      <c r="AM6" s="70" t="s">
        <v>138</v>
      </c>
      <c r="AN6" s="15" t="s">
        <v>52</v>
      </c>
      <c r="AO6" s="9">
        <v>10.700038344938019</v>
      </c>
      <c r="AP6" s="60"/>
      <c r="AQ6" s="70" t="s">
        <v>138</v>
      </c>
      <c r="AR6" s="9">
        <v>5.8451713013080004</v>
      </c>
      <c r="AS6" s="15" t="s">
        <v>1489</v>
      </c>
      <c r="AT6" s="9">
        <v>3.6917618340600002</v>
      </c>
      <c r="AU6" s="75" t="s">
        <v>138</v>
      </c>
      <c r="AV6" s="9">
        <v>3</v>
      </c>
      <c r="AW6" s="15" t="s">
        <v>52</v>
      </c>
      <c r="AX6" s="9">
        <v>88.482259606950009</v>
      </c>
      <c r="AY6" s="75" t="s">
        <v>76</v>
      </c>
      <c r="AZ6" s="9">
        <v>1.3395921730840001</v>
      </c>
      <c r="BA6" s="75" t="s">
        <v>138</v>
      </c>
      <c r="BB6" s="75" t="s">
        <v>76</v>
      </c>
      <c r="BC6" s="9">
        <v>6.5823261956005181</v>
      </c>
      <c r="BD6" s="75" t="s">
        <v>138</v>
      </c>
      <c r="BE6" s="64" t="s">
        <v>52</v>
      </c>
      <c r="BF6" s="9">
        <v>6.4387366351593158</v>
      </c>
      <c r="BG6" s="64" t="s">
        <v>1489</v>
      </c>
      <c r="BH6" s="70" t="s">
        <v>76</v>
      </c>
      <c r="BI6" s="9">
        <v>6.1474042089919303</v>
      </c>
      <c r="BJ6" s="15" t="s">
        <v>1489</v>
      </c>
      <c r="BK6" s="64" t="s">
        <v>52</v>
      </c>
      <c r="BL6" s="9">
        <v>6.047053438862501</v>
      </c>
      <c r="BM6" s="70" t="s">
        <v>138</v>
      </c>
      <c r="BN6" s="75" t="s">
        <v>1482</v>
      </c>
      <c r="BO6" s="9">
        <v>6.0134014731788685</v>
      </c>
    </row>
    <row r="7" spans="1:67" x14ac:dyDescent="0.45">
      <c r="A7" s="10">
        <v>5</v>
      </c>
      <c r="B7" s="10" t="s">
        <v>1466</v>
      </c>
      <c r="C7" s="75" t="s">
        <v>1976</v>
      </c>
      <c r="D7" s="65"/>
      <c r="E7" s="80" t="s">
        <v>2198</v>
      </c>
      <c r="F7" s="289" t="s">
        <v>2199</v>
      </c>
      <c r="G7" s="242"/>
      <c r="H7" s="10"/>
      <c r="I7" s="62">
        <v>136.72190173000001</v>
      </c>
      <c r="J7" s="62">
        <v>111.43230141000001</v>
      </c>
      <c r="K7" s="62">
        <v>131.18980166</v>
      </c>
      <c r="L7" s="49">
        <v>1653.0792645967472</v>
      </c>
      <c r="M7" s="49">
        <v>1586.7171314575523</v>
      </c>
      <c r="N7" s="49">
        <v>1535.5507578300083</v>
      </c>
      <c r="O7" s="61">
        <v>13.153101184794942</v>
      </c>
      <c r="P7" s="60"/>
      <c r="Q7" s="70" t="s">
        <v>1512</v>
      </c>
      <c r="R7" s="9">
        <v>10.84397692456</v>
      </c>
      <c r="S7" s="70" t="s">
        <v>1512</v>
      </c>
      <c r="T7" s="9">
        <v>12.048863249511111</v>
      </c>
      <c r="U7" s="70" t="s">
        <v>138</v>
      </c>
      <c r="V7" s="9">
        <v>10</v>
      </c>
      <c r="W7" s="75" t="s">
        <v>2371</v>
      </c>
      <c r="X7" s="9">
        <v>58.423198726600006</v>
      </c>
      <c r="Y7" s="64" t="s">
        <v>52</v>
      </c>
      <c r="Z7" s="9">
        <v>35.609046861071434</v>
      </c>
      <c r="AA7" s="70" t="s">
        <v>1512</v>
      </c>
      <c r="AB7" s="70" t="s">
        <v>76</v>
      </c>
      <c r="AC7" s="9">
        <v>16.127546901610224</v>
      </c>
      <c r="AD7" s="75" t="s">
        <v>1512</v>
      </c>
      <c r="AE7" s="64" t="s">
        <v>52</v>
      </c>
      <c r="AF7" s="9">
        <v>15.754959547958801</v>
      </c>
      <c r="AG7" s="70" t="s">
        <v>1512</v>
      </c>
      <c r="AH7" s="70" t="s">
        <v>13</v>
      </c>
      <c r="AI7" s="9">
        <v>15.344783992700281</v>
      </c>
      <c r="AJ7" s="70" t="s">
        <v>1512</v>
      </c>
      <c r="AK7" s="75" t="s">
        <v>280</v>
      </c>
      <c r="AL7" s="9">
        <v>15.34322851125836</v>
      </c>
      <c r="AM7" s="70" t="s">
        <v>138</v>
      </c>
      <c r="AN7" s="70" t="s">
        <v>76</v>
      </c>
      <c r="AO7" s="9">
        <v>14.505523506333333</v>
      </c>
      <c r="AP7" s="60"/>
      <c r="AQ7" s="70" t="s">
        <v>1512</v>
      </c>
      <c r="AR7" s="9">
        <v>9.5314466679520002</v>
      </c>
      <c r="AS7" s="70" t="s">
        <v>1512</v>
      </c>
      <c r="AT7" s="9">
        <v>4.7657233339760001</v>
      </c>
      <c r="AU7" s="75" t="s">
        <v>138</v>
      </c>
      <c r="AV7" s="9">
        <v>3</v>
      </c>
      <c r="AW7" s="15" t="s">
        <v>52</v>
      </c>
      <c r="AX7" s="9">
        <v>116.53000696185002</v>
      </c>
      <c r="AY7" s="75" t="s">
        <v>76</v>
      </c>
      <c r="AZ7" s="9">
        <v>1.7632504548083638</v>
      </c>
      <c r="BA7" s="75" t="s">
        <v>1512</v>
      </c>
      <c r="BB7" s="75" t="s">
        <v>76</v>
      </c>
      <c r="BC7" s="9">
        <v>8.7749864505187833</v>
      </c>
      <c r="BD7" s="75" t="s">
        <v>1512</v>
      </c>
      <c r="BE7" s="64" t="s">
        <v>52</v>
      </c>
      <c r="BF7" s="9">
        <v>8.6196641487302763</v>
      </c>
      <c r="BG7" s="75" t="s">
        <v>138</v>
      </c>
      <c r="BH7" s="70" t="s">
        <v>76</v>
      </c>
      <c r="BI7" s="9">
        <v>8.5240933201705182</v>
      </c>
      <c r="BJ7" s="70" t="s">
        <v>138</v>
      </c>
      <c r="BK7" s="64" t="s">
        <v>52</v>
      </c>
      <c r="BL7" s="9">
        <v>8.3361711769765776</v>
      </c>
      <c r="BM7" s="70" t="s">
        <v>1512</v>
      </c>
      <c r="BN7" s="75" t="s">
        <v>13</v>
      </c>
      <c r="BO7" s="9">
        <v>7.9944275991638829</v>
      </c>
    </row>
    <row r="8" spans="1:67" x14ac:dyDescent="0.45">
      <c r="A8" s="10">
        <v>6</v>
      </c>
      <c r="B8" s="10" t="s">
        <v>228</v>
      </c>
      <c r="C8" s="287" t="s">
        <v>2107</v>
      </c>
      <c r="D8" s="56" t="s">
        <v>2025</v>
      </c>
      <c r="E8" s="288" t="s">
        <v>2141</v>
      </c>
      <c r="F8" s="58" t="s">
        <v>2200</v>
      </c>
      <c r="G8" s="289" t="s">
        <v>2118</v>
      </c>
      <c r="H8" s="10"/>
      <c r="I8" s="62">
        <v>188.09140238000001</v>
      </c>
      <c r="J8" s="62">
        <v>148.57640188000002</v>
      </c>
      <c r="K8" s="62">
        <v>158.85030201000001</v>
      </c>
      <c r="L8" s="49">
        <v>2889.6010421740325</v>
      </c>
      <c r="M8" s="49">
        <v>2701.0827167394464</v>
      </c>
      <c r="N8" s="49">
        <v>2559.1626162853049</v>
      </c>
      <c r="O8" s="61">
        <v>20.548399106551507</v>
      </c>
      <c r="P8" s="60"/>
      <c r="Q8" s="16" t="s">
        <v>2372</v>
      </c>
      <c r="R8" s="9">
        <v>16.799677799920001</v>
      </c>
      <c r="S8" s="70" t="s">
        <v>36</v>
      </c>
      <c r="T8" s="9">
        <v>15.272434363563637</v>
      </c>
      <c r="U8" s="16" t="s">
        <v>1505</v>
      </c>
      <c r="V8" s="9">
        <v>11.25</v>
      </c>
      <c r="W8" s="75" t="s">
        <v>48</v>
      </c>
      <c r="X8" s="9">
        <v>181.56774628479999</v>
      </c>
      <c r="Y8" s="64" t="s">
        <v>52</v>
      </c>
      <c r="Z8" s="9">
        <v>48.451422023571439</v>
      </c>
      <c r="AA8" s="70" t="s">
        <v>36</v>
      </c>
      <c r="AB8" s="70" t="s">
        <v>1563</v>
      </c>
      <c r="AC8" s="9">
        <v>23.765763019363636</v>
      </c>
      <c r="AD8" s="287" t="s">
        <v>1505</v>
      </c>
      <c r="AE8" s="75" t="s">
        <v>1563</v>
      </c>
      <c r="AF8" s="9">
        <v>23.352687171437591</v>
      </c>
      <c r="AG8" s="70" t="s">
        <v>36</v>
      </c>
      <c r="AH8" s="70" t="s">
        <v>48</v>
      </c>
      <c r="AI8" s="9">
        <v>23.304301618933334</v>
      </c>
      <c r="AJ8" s="16" t="s">
        <v>158</v>
      </c>
      <c r="AK8" s="75" t="s">
        <v>1563</v>
      </c>
      <c r="AL8" s="9">
        <v>22.488033824774195</v>
      </c>
      <c r="AM8" s="70" t="s">
        <v>138</v>
      </c>
      <c r="AN8" s="70" t="s">
        <v>1563</v>
      </c>
      <c r="AO8" s="9">
        <v>22.47804172106024</v>
      </c>
      <c r="AP8" s="60"/>
      <c r="AQ8" s="16" t="s">
        <v>2372</v>
      </c>
      <c r="AR8" s="9">
        <v>14.204016447076</v>
      </c>
      <c r="AS8" s="70" t="s">
        <v>138</v>
      </c>
      <c r="AT8" s="9">
        <v>4.9013388156920001</v>
      </c>
      <c r="AU8" s="287" t="s">
        <v>1505</v>
      </c>
      <c r="AV8" s="9">
        <v>3.5</v>
      </c>
      <c r="AW8" s="70" t="s">
        <v>19</v>
      </c>
      <c r="AX8" s="9">
        <v>206.39581139896001</v>
      </c>
      <c r="AY8" s="75" t="s">
        <v>48</v>
      </c>
      <c r="AZ8" s="9">
        <v>3.4859033093330911</v>
      </c>
      <c r="BA8" s="75" t="s">
        <v>36</v>
      </c>
      <c r="BB8" s="75" t="s">
        <v>48</v>
      </c>
      <c r="BC8" s="9">
        <v>15.419815569842171</v>
      </c>
      <c r="BD8" s="287" t="s">
        <v>1505</v>
      </c>
      <c r="BE8" s="75" t="s">
        <v>48</v>
      </c>
      <c r="BF8" s="9">
        <v>15.389135317934528</v>
      </c>
      <c r="BG8" s="75" t="s">
        <v>36</v>
      </c>
      <c r="BH8" s="70" t="s">
        <v>1563</v>
      </c>
      <c r="BI8" s="9">
        <v>14.58765659233875</v>
      </c>
      <c r="BJ8" s="70" t="s">
        <v>138</v>
      </c>
      <c r="BK8" s="75" t="s">
        <v>48</v>
      </c>
      <c r="BL8" s="9">
        <v>14.564615187983103</v>
      </c>
      <c r="BM8" s="16" t="s">
        <v>1505</v>
      </c>
      <c r="BN8" s="75" t="s">
        <v>1563</v>
      </c>
      <c r="BO8" s="9">
        <v>14.518272872292338</v>
      </c>
    </row>
    <row r="9" spans="1:67" x14ac:dyDescent="0.45">
      <c r="A9" s="10">
        <v>7</v>
      </c>
      <c r="B9" s="10" t="s">
        <v>1463</v>
      </c>
      <c r="C9" s="288" t="s">
        <v>1993</v>
      </c>
      <c r="D9" s="65"/>
      <c r="E9" s="290" t="s">
        <v>2201</v>
      </c>
      <c r="F9" s="59" t="s">
        <v>2202</v>
      </c>
      <c r="G9" s="242"/>
      <c r="H9" s="10"/>
      <c r="I9" s="62">
        <v>86.142701090000003</v>
      </c>
      <c r="J9" s="62">
        <v>107.48080136</v>
      </c>
      <c r="K9" s="62">
        <v>112.22260142</v>
      </c>
      <c r="L9" s="49">
        <v>946.0718037619306</v>
      </c>
      <c r="M9" s="49">
        <v>1025.8561711243594</v>
      </c>
      <c r="N9" s="49">
        <v>1094.5015381774244</v>
      </c>
      <c r="O9" s="61">
        <v>10.891182146465624</v>
      </c>
      <c r="P9" s="60"/>
      <c r="Q9" s="73" t="s">
        <v>214</v>
      </c>
      <c r="R9" s="9">
        <v>7.2022744784799997</v>
      </c>
      <c r="S9" s="15" t="s">
        <v>127</v>
      </c>
      <c r="T9" s="9">
        <v>6.3071350544999998</v>
      </c>
      <c r="U9" s="73" t="s">
        <v>214</v>
      </c>
      <c r="V9" s="9">
        <v>11.667</v>
      </c>
      <c r="W9" s="288" t="s">
        <v>238</v>
      </c>
      <c r="X9" s="9">
        <v>37.179934457800002</v>
      </c>
      <c r="Y9" s="64" t="s">
        <v>52</v>
      </c>
      <c r="Z9" s="9">
        <v>22.964246701071431</v>
      </c>
      <c r="AA9" s="73" t="s">
        <v>214</v>
      </c>
      <c r="AB9" s="15" t="s">
        <v>52</v>
      </c>
      <c r="AC9" s="9">
        <v>9.3398681449765739</v>
      </c>
      <c r="AD9" s="288" t="s">
        <v>214</v>
      </c>
      <c r="AE9" s="288" t="s">
        <v>306</v>
      </c>
      <c r="AF9" s="9">
        <v>9.2473747826926918</v>
      </c>
      <c r="AG9" s="15" t="s">
        <v>127</v>
      </c>
      <c r="AH9" s="15" t="s">
        <v>52</v>
      </c>
      <c r="AI9" s="9">
        <v>9.1980387286983465</v>
      </c>
      <c r="AJ9" s="15" t="s">
        <v>127</v>
      </c>
      <c r="AK9" s="288" t="s">
        <v>306</v>
      </c>
      <c r="AL9" s="9">
        <v>9.146482899745223</v>
      </c>
      <c r="AM9" s="73" t="s">
        <v>214</v>
      </c>
      <c r="AN9" s="73" t="s">
        <v>238</v>
      </c>
      <c r="AO9" s="9">
        <v>8.402984793255726</v>
      </c>
      <c r="AP9" s="60"/>
      <c r="AQ9" s="73" t="s">
        <v>214</v>
      </c>
      <c r="AR9" s="9">
        <v>6.3753045480160004</v>
      </c>
      <c r="AS9" s="15" t="s">
        <v>127</v>
      </c>
      <c r="AT9" s="9">
        <v>2.6797826712549999</v>
      </c>
      <c r="AU9" s="288" t="s">
        <v>214</v>
      </c>
      <c r="AV9" s="9">
        <v>3.6666666666666998</v>
      </c>
      <c r="AW9" s="15" t="s">
        <v>52</v>
      </c>
      <c r="AX9" s="9">
        <v>73.790582421050004</v>
      </c>
      <c r="AY9" s="64" t="s">
        <v>52</v>
      </c>
      <c r="AZ9" s="9">
        <v>1.0541511774435715</v>
      </c>
      <c r="BA9" s="288" t="s">
        <v>214</v>
      </c>
      <c r="BB9" s="64" t="s">
        <v>52</v>
      </c>
      <c r="BC9" s="9">
        <v>5.6921616515505438</v>
      </c>
      <c r="BD9" s="288" t="s">
        <v>214</v>
      </c>
      <c r="BE9" s="288" t="s">
        <v>306</v>
      </c>
      <c r="BF9" s="9">
        <v>5.2042055763505184</v>
      </c>
      <c r="BG9" s="288" t="s">
        <v>214</v>
      </c>
      <c r="BH9" s="73" t="s">
        <v>238</v>
      </c>
      <c r="BI9" s="9">
        <v>4.7690645844371735</v>
      </c>
      <c r="BJ9" s="15" t="s">
        <v>127</v>
      </c>
      <c r="BK9" s="64" t="s">
        <v>52</v>
      </c>
      <c r="BL9" s="9">
        <v>4.6550826643048611</v>
      </c>
      <c r="BM9" s="15" t="s">
        <v>127</v>
      </c>
      <c r="BN9" s="288" t="s">
        <v>306</v>
      </c>
      <c r="BO9" s="9">
        <v>4.4049648741655405</v>
      </c>
    </row>
    <row r="10" spans="1:67" x14ac:dyDescent="0.45">
      <c r="A10" s="10">
        <v>8</v>
      </c>
      <c r="B10" s="10" t="s">
        <v>1462</v>
      </c>
      <c r="C10" s="288" t="s">
        <v>1993</v>
      </c>
      <c r="D10" s="65"/>
      <c r="E10" s="290" t="s">
        <v>2201</v>
      </c>
      <c r="F10" s="59" t="s">
        <v>2202</v>
      </c>
      <c r="G10" s="242"/>
      <c r="H10" s="10"/>
      <c r="I10" s="62">
        <v>111.43230141000001</v>
      </c>
      <c r="J10" s="62">
        <v>134.35100170000001</v>
      </c>
      <c r="K10" s="62">
        <v>132.77040168000002</v>
      </c>
      <c r="L10" s="49">
        <v>1488.2715817784369</v>
      </c>
      <c r="M10" s="49">
        <v>1580.8919404174469</v>
      </c>
      <c r="N10" s="49">
        <v>1659.1214662966436</v>
      </c>
      <c r="O10" s="61">
        <v>15.725147185559511</v>
      </c>
      <c r="P10" s="60"/>
      <c r="Q10" s="67" t="s">
        <v>2373</v>
      </c>
      <c r="R10" s="9">
        <v>4.3429690423</v>
      </c>
      <c r="S10" s="67" t="s">
        <v>2373</v>
      </c>
      <c r="T10" s="9">
        <v>8.6859380846000001</v>
      </c>
      <c r="U10" s="73" t="s">
        <v>121</v>
      </c>
      <c r="V10" s="9">
        <v>10</v>
      </c>
      <c r="W10" s="288" t="s">
        <v>197</v>
      </c>
      <c r="X10" s="9">
        <v>87.917195099799997</v>
      </c>
      <c r="Y10" s="64" t="s">
        <v>52</v>
      </c>
      <c r="Z10" s="9">
        <v>29.286646781071436</v>
      </c>
      <c r="AA10" s="73" t="s">
        <v>121</v>
      </c>
      <c r="AB10" s="73" t="s">
        <v>197</v>
      </c>
      <c r="AC10" s="9">
        <v>13.141095935774436</v>
      </c>
      <c r="AD10" s="76" t="s">
        <v>66</v>
      </c>
      <c r="AE10" s="288" t="s">
        <v>197</v>
      </c>
      <c r="AF10" s="9">
        <v>12.436165896031646</v>
      </c>
      <c r="AG10" s="73" t="s">
        <v>121</v>
      </c>
      <c r="AH10" s="15" t="s">
        <v>52</v>
      </c>
      <c r="AI10" s="9">
        <v>12.261267693078514</v>
      </c>
      <c r="AJ10" s="67" t="s">
        <v>66</v>
      </c>
      <c r="AK10" s="64" t="s">
        <v>52</v>
      </c>
      <c r="AL10" s="9">
        <v>11.649053719023971</v>
      </c>
      <c r="AM10" s="73" t="s">
        <v>121</v>
      </c>
      <c r="AN10" s="74" t="s">
        <v>189</v>
      </c>
      <c r="AO10" s="9">
        <v>11.394485067168674</v>
      </c>
      <c r="AP10" s="60"/>
      <c r="AQ10" s="67" t="s">
        <v>66</v>
      </c>
      <c r="AR10" s="9">
        <v>3.8972398366600003</v>
      </c>
      <c r="AS10" s="67" t="s">
        <v>66</v>
      </c>
      <c r="AT10" s="9">
        <v>3.8972398366600003</v>
      </c>
      <c r="AU10" s="288" t="s">
        <v>121</v>
      </c>
      <c r="AV10" s="9">
        <v>3</v>
      </c>
      <c r="AW10" s="73" t="s">
        <v>197</v>
      </c>
      <c r="AX10" s="9">
        <v>113.99235362974001</v>
      </c>
      <c r="AY10" s="288" t="s">
        <v>197</v>
      </c>
      <c r="AZ10" s="9">
        <v>1.5198980483965334</v>
      </c>
      <c r="BA10" s="288" t="s">
        <v>121</v>
      </c>
      <c r="BB10" s="288" t="s">
        <v>197</v>
      </c>
      <c r="BC10" s="9">
        <v>7.8530865367150007</v>
      </c>
      <c r="BD10" s="288" t="s">
        <v>121</v>
      </c>
      <c r="BE10" s="64" t="s">
        <v>52</v>
      </c>
      <c r="BF10" s="9">
        <v>7.3699588189579455</v>
      </c>
      <c r="BG10" s="288" t="s">
        <v>121</v>
      </c>
      <c r="BH10" s="74" t="s">
        <v>189</v>
      </c>
      <c r="BI10" s="9">
        <v>6.8444320842968969</v>
      </c>
      <c r="BJ10" s="67" t="s">
        <v>66</v>
      </c>
      <c r="BK10" s="288" t="s">
        <v>197</v>
      </c>
      <c r="BL10" s="9">
        <v>6.7568531819348054</v>
      </c>
      <c r="BM10" s="67" t="s">
        <v>66</v>
      </c>
      <c r="BN10" s="64" t="s">
        <v>52</v>
      </c>
      <c r="BO10" s="9">
        <v>6.4323246937375007</v>
      </c>
    </row>
    <row r="11" spans="1:67" x14ac:dyDescent="0.45">
      <c r="A11" s="10">
        <v>9</v>
      </c>
      <c r="B11" s="10" t="s">
        <v>235</v>
      </c>
      <c r="C11" s="288" t="s">
        <v>1993</v>
      </c>
      <c r="D11" s="65"/>
      <c r="E11" s="290" t="s">
        <v>2201</v>
      </c>
      <c r="F11" s="59" t="s">
        <v>2202</v>
      </c>
      <c r="G11" s="242"/>
      <c r="H11" s="10"/>
      <c r="I11" s="62">
        <v>146.99580186</v>
      </c>
      <c r="J11" s="62">
        <v>175.44660222000002</v>
      </c>
      <c r="K11" s="62">
        <v>160.43090203</v>
      </c>
      <c r="L11" s="49">
        <v>2466.1609985988262</v>
      </c>
      <c r="M11" s="49">
        <v>2577.2622502449185</v>
      </c>
      <c r="N11" s="49">
        <v>2669.7362746777044</v>
      </c>
      <c r="O11" s="61">
        <v>23.945840329193548</v>
      </c>
      <c r="P11" s="60"/>
      <c r="Q11" s="67" t="s">
        <v>2373</v>
      </c>
      <c r="R11" s="9">
        <v>5.4098740557999996</v>
      </c>
      <c r="S11" s="67" t="s">
        <v>2373</v>
      </c>
      <c r="T11" s="9">
        <v>10.819748111599999</v>
      </c>
      <c r="U11" s="73" t="s">
        <v>121</v>
      </c>
      <c r="V11" s="9">
        <v>10</v>
      </c>
      <c r="W11" s="288" t="s">
        <v>197</v>
      </c>
      <c r="X11" s="9">
        <v>115.6567254508</v>
      </c>
      <c r="Y11" s="288" t="s">
        <v>1564</v>
      </c>
      <c r="Z11" s="9">
        <v>42.30407000231579</v>
      </c>
      <c r="AA11" s="73" t="s">
        <v>121</v>
      </c>
      <c r="AB11" s="73" t="s">
        <v>1564</v>
      </c>
      <c r="AC11" s="9">
        <v>19.489343994550723</v>
      </c>
      <c r="AD11" s="76" t="s">
        <v>66</v>
      </c>
      <c r="AE11" s="288" t="s">
        <v>1564</v>
      </c>
      <c r="AF11" s="9">
        <v>18.159651374466254</v>
      </c>
      <c r="AG11" s="73" t="s">
        <v>121</v>
      </c>
      <c r="AH11" s="73" t="s">
        <v>197</v>
      </c>
      <c r="AI11" s="9">
        <v>16.831143350887213</v>
      </c>
      <c r="AJ11" s="67" t="s">
        <v>66</v>
      </c>
      <c r="AK11" s="288" t="s">
        <v>197</v>
      </c>
      <c r="AL11" s="9">
        <v>15.879973218088606</v>
      </c>
      <c r="AM11" s="73" t="s">
        <v>121</v>
      </c>
      <c r="AN11" s="15" t="s">
        <v>142</v>
      </c>
      <c r="AO11" s="9">
        <v>15.629370406488549</v>
      </c>
      <c r="AP11" s="60"/>
      <c r="AQ11" s="67" t="s">
        <v>66</v>
      </c>
      <c r="AR11" s="9">
        <v>4.8218908483599998</v>
      </c>
      <c r="AS11" s="67" t="s">
        <v>66</v>
      </c>
      <c r="AT11" s="9">
        <v>4.8218908483599998</v>
      </c>
      <c r="AU11" s="288" t="s">
        <v>121</v>
      </c>
      <c r="AV11" s="9">
        <v>3</v>
      </c>
      <c r="AW11" s="73" t="s">
        <v>197</v>
      </c>
      <c r="AX11" s="9">
        <v>150.05374308604001</v>
      </c>
      <c r="AY11" s="288" t="s">
        <v>1564</v>
      </c>
      <c r="AZ11" s="9">
        <v>2.3181345090160002</v>
      </c>
      <c r="BA11" s="288" t="s">
        <v>121</v>
      </c>
      <c r="BB11" s="288" t="s">
        <v>1564</v>
      </c>
      <c r="BC11" s="9">
        <v>10.59916771216</v>
      </c>
      <c r="BD11" s="288" t="s">
        <v>121</v>
      </c>
      <c r="BE11" s="288" t="s">
        <v>197</v>
      </c>
      <c r="BF11" s="9">
        <v>10.040241814389999</v>
      </c>
      <c r="BG11" s="288" t="s">
        <v>121</v>
      </c>
      <c r="BH11" s="15" t="s">
        <v>52</v>
      </c>
      <c r="BI11" s="9">
        <v>9.40292439947644</v>
      </c>
      <c r="BJ11" s="73" t="s">
        <v>121</v>
      </c>
      <c r="BK11" s="64" t="s">
        <v>142</v>
      </c>
      <c r="BL11" s="9">
        <v>9.0847691022999992</v>
      </c>
      <c r="BM11" s="67" t="s">
        <v>66</v>
      </c>
      <c r="BN11" s="288" t="s">
        <v>1564</v>
      </c>
      <c r="BO11" s="9">
        <v>9.0077713013257146</v>
      </c>
    </row>
    <row r="12" spans="1:67" x14ac:dyDescent="0.45">
      <c r="A12" s="10">
        <v>10</v>
      </c>
      <c r="B12" s="10" t="s">
        <v>1461</v>
      </c>
      <c r="C12" s="289" t="s">
        <v>1887</v>
      </c>
      <c r="D12" s="65"/>
      <c r="E12" s="287" t="s">
        <v>2203</v>
      </c>
      <c r="F12" s="58" t="s">
        <v>2204</v>
      </c>
      <c r="G12" s="242"/>
      <c r="H12" s="10"/>
      <c r="I12" s="62">
        <v>55.321000700000006</v>
      </c>
      <c r="J12" s="62">
        <v>55.321000700000006</v>
      </c>
      <c r="K12" s="62">
        <v>113.01290143000001</v>
      </c>
      <c r="L12" s="49">
        <v>437.42042037830606</v>
      </c>
      <c r="M12" s="49">
        <v>492.72589442688616</v>
      </c>
      <c r="N12" s="49">
        <v>541.9640167293735</v>
      </c>
      <c r="O12" s="61">
        <v>5.9242512893907033</v>
      </c>
      <c r="P12" s="60"/>
      <c r="Q12" s="69" t="s">
        <v>38</v>
      </c>
      <c r="R12" s="9">
        <v>2.6596300210000003</v>
      </c>
      <c r="S12" s="69" t="s">
        <v>38</v>
      </c>
      <c r="T12" s="9">
        <v>5.3192600420000007</v>
      </c>
      <c r="U12" s="69" t="s">
        <v>38</v>
      </c>
      <c r="V12" s="9">
        <v>12</v>
      </c>
      <c r="W12" s="64" t="s">
        <v>645</v>
      </c>
      <c r="X12" s="9">
        <v>10.681175122500001</v>
      </c>
      <c r="Y12" s="64" t="s">
        <v>645</v>
      </c>
      <c r="Z12" s="9">
        <v>4.8550796011363637</v>
      </c>
      <c r="AA12" s="69" t="s">
        <v>38</v>
      </c>
      <c r="AB12" s="15" t="s">
        <v>645</v>
      </c>
      <c r="AC12" s="9">
        <v>5.1141088650111621</v>
      </c>
      <c r="AD12" s="64" t="s">
        <v>127</v>
      </c>
      <c r="AE12" s="64" t="s">
        <v>645</v>
      </c>
      <c r="AF12" s="9">
        <v>4.8014473323795182</v>
      </c>
      <c r="AI12" s="9"/>
      <c r="AK12" s="78"/>
      <c r="AL12" s="9"/>
      <c r="AO12" s="9"/>
      <c r="AP12" s="60"/>
      <c r="AQ12" s="69" t="s">
        <v>38</v>
      </c>
      <c r="AR12" s="9">
        <v>2.2945114163800002</v>
      </c>
      <c r="AS12" s="69" t="s">
        <v>38</v>
      </c>
      <c r="AT12" s="9">
        <v>2.2945114163800002</v>
      </c>
      <c r="AU12" s="289" t="s">
        <v>38</v>
      </c>
      <c r="AV12" s="9">
        <v>3</v>
      </c>
      <c r="AW12" s="15" t="s">
        <v>645</v>
      </c>
      <c r="AX12" s="9">
        <v>13.585527659250001</v>
      </c>
      <c r="AY12" s="64" t="s">
        <v>645</v>
      </c>
      <c r="AZ12" s="9">
        <v>0.13585527659250002</v>
      </c>
      <c r="BA12" s="289" t="s">
        <v>38</v>
      </c>
      <c r="BB12" s="64" t="s">
        <v>645</v>
      </c>
      <c r="BC12" s="9">
        <v>2.623375967143204</v>
      </c>
      <c r="BD12" s="64" t="s">
        <v>127</v>
      </c>
      <c r="BE12" s="64" t="s">
        <v>645</v>
      </c>
      <c r="BF12" s="9">
        <v>2.3043824184656865</v>
      </c>
      <c r="BG12" s="78"/>
      <c r="BI12" s="9"/>
      <c r="BK12" s="76"/>
      <c r="BL12" s="9"/>
      <c r="BN12" s="78"/>
      <c r="BO12" s="9"/>
    </row>
    <row r="13" spans="1:67" x14ac:dyDescent="0.45">
      <c r="A13" s="10">
        <v>11</v>
      </c>
      <c r="B13" s="10" t="s">
        <v>1460</v>
      </c>
      <c r="C13" s="289" t="s">
        <v>1887</v>
      </c>
      <c r="D13" s="65"/>
      <c r="E13" s="287" t="s">
        <v>2203</v>
      </c>
      <c r="F13" s="58" t="s">
        <v>2204</v>
      </c>
      <c r="G13" s="242"/>
      <c r="H13" s="10"/>
      <c r="I13" s="62">
        <v>47.418000600000006</v>
      </c>
      <c r="J13" s="62">
        <v>75.078500950000006</v>
      </c>
      <c r="K13" s="62">
        <v>120.12560152</v>
      </c>
      <c r="L13" s="49">
        <v>450.31749715547005</v>
      </c>
      <c r="M13" s="49">
        <v>567.62685904958914</v>
      </c>
      <c r="N13" s="49">
        <v>683.12193324417319</v>
      </c>
      <c r="O13" s="61">
        <v>8.3890153880568512</v>
      </c>
      <c r="P13" s="60"/>
      <c r="Q13" s="69" t="s">
        <v>38</v>
      </c>
      <c r="R13" s="9">
        <v>2.4225400180000003</v>
      </c>
      <c r="S13" s="69" t="s">
        <v>38</v>
      </c>
      <c r="T13" s="9">
        <v>4.8450800360000006</v>
      </c>
      <c r="U13" s="69" t="s">
        <v>38</v>
      </c>
      <c r="V13" s="9">
        <v>12</v>
      </c>
      <c r="W13" s="64" t="s">
        <v>645</v>
      </c>
      <c r="X13" s="9">
        <v>9.2981501050000013</v>
      </c>
      <c r="Y13" s="64" t="s">
        <v>645</v>
      </c>
      <c r="Z13" s="9">
        <v>4.2264318659090909</v>
      </c>
      <c r="AA13" s="69" t="s">
        <v>38</v>
      </c>
      <c r="AB13" s="15" t="s">
        <v>645</v>
      </c>
      <c r="AC13" s="9">
        <v>4.571659639397323</v>
      </c>
      <c r="AD13" s="64" t="s">
        <v>127</v>
      </c>
      <c r="AE13" s="64" t="s">
        <v>645</v>
      </c>
      <c r="AF13" s="9">
        <v>4.3134608804216876</v>
      </c>
      <c r="AI13" s="9"/>
      <c r="AK13" s="78"/>
      <c r="AL13" s="9"/>
      <c r="AO13" s="9"/>
      <c r="AP13" s="60"/>
      <c r="AQ13" s="69" t="s">
        <v>38</v>
      </c>
      <c r="AR13" s="9">
        <v>2.1095812140400003</v>
      </c>
      <c r="AS13" s="69" t="s">
        <v>38</v>
      </c>
      <c r="AT13" s="9">
        <v>2.1095812140400003</v>
      </c>
      <c r="AU13" s="289" t="s">
        <v>38</v>
      </c>
      <c r="AV13" s="9">
        <v>3</v>
      </c>
      <c r="AW13" s="15" t="s">
        <v>645</v>
      </c>
      <c r="AX13" s="9">
        <v>11.787595136500002</v>
      </c>
      <c r="AY13" s="64" t="s">
        <v>645</v>
      </c>
      <c r="AZ13" s="9">
        <v>0.11787595136500002</v>
      </c>
      <c r="BA13" s="289" t="s">
        <v>38</v>
      </c>
      <c r="BB13" s="64" t="s">
        <v>645</v>
      </c>
      <c r="BC13" s="9">
        <v>2.3914651146941752</v>
      </c>
      <c r="BD13" s="64" t="s">
        <v>127</v>
      </c>
      <c r="BE13" s="64" t="s">
        <v>645</v>
      </c>
      <c r="BF13" s="9">
        <v>2.1180420729705887</v>
      </c>
      <c r="BG13" s="78"/>
      <c r="BI13" s="9"/>
      <c r="BK13" s="76"/>
      <c r="BL13" s="9"/>
      <c r="BN13" s="78"/>
      <c r="BO13" s="9"/>
    </row>
    <row r="14" spans="1:67" x14ac:dyDescent="0.45">
      <c r="A14" s="10">
        <v>12</v>
      </c>
      <c r="B14" s="10" t="s">
        <v>1459</v>
      </c>
      <c r="C14" s="287" t="s">
        <v>2108</v>
      </c>
      <c r="D14" s="56" t="s">
        <v>2025</v>
      </c>
      <c r="E14" s="287" t="s">
        <v>2205</v>
      </c>
      <c r="F14" s="289" t="s">
        <v>1887</v>
      </c>
      <c r="G14" s="58" t="s">
        <v>2164</v>
      </c>
      <c r="H14" s="80" t="s">
        <v>1892</v>
      </c>
      <c r="I14" s="62">
        <v>143.83460182000002</v>
      </c>
      <c r="J14" s="62">
        <v>120.12560152</v>
      </c>
      <c r="K14" s="62">
        <v>134.35100170000001</v>
      </c>
      <c r="L14" s="49">
        <v>1827.2653442774358</v>
      </c>
      <c r="M14" s="49">
        <v>1753.1802641188674</v>
      </c>
      <c r="N14" s="49">
        <v>1696.0807986293505</v>
      </c>
      <c r="O14" s="61">
        <v>14.408201073278372</v>
      </c>
      <c r="P14" s="60"/>
      <c r="Q14" s="57" t="s">
        <v>101</v>
      </c>
      <c r="R14" s="9">
        <v>15.383460182000002</v>
      </c>
      <c r="S14" s="69" t="s">
        <v>38</v>
      </c>
      <c r="T14" s="9">
        <v>10.630076109200001</v>
      </c>
      <c r="U14" s="69" t="s">
        <v>38</v>
      </c>
      <c r="V14" s="9">
        <v>12</v>
      </c>
      <c r="W14" s="289" t="s">
        <v>126</v>
      </c>
      <c r="X14" s="9">
        <v>78.670684982800012</v>
      </c>
      <c r="Y14" s="242" t="s">
        <v>82</v>
      </c>
      <c r="Z14" s="9">
        <v>23.473418149642864</v>
      </c>
      <c r="AA14" s="69" t="s">
        <v>38</v>
      </c>
      <c r="AB14" s="57" t="s">
        <v>82</v>
      </c>
      <c r="AC14" s="9">
        <v>15.791993484306223</v>
      </c>
      <c r="AD14" s="289" t="s">
        <v>38</v>
      </c>
      <c r="AE14" s="289" t="s">
        <v>126</v>
      </c>
      <c r="AF14" s="9">
        <v>15.630847725144069</v>
      </c>
      <c r="AG14" s="69" t="s">
        <v>38</v>
      </c>
      <c r="AH14" s="69" t="s">
        <v>1534</v>
      </c>
      <c r="AI14" s="9">
        <v>15.568521878396229</v>
      </c>
      <c r="AJ14" s="69" t="s">
        <v>1523</v>
      </c>
      <c r="AK14" s="242" t="s">
        <v>82</v>
      </c>
      <c r="AL14" s="9">
        <v>14.385805730555559</v>
      </c>
      <c r="AM14" s="57" t="s">
        <v>101</v>
      </c>
      <c r="AN14" s="57" t="s">
        <v>82</v>
      </c>
      <c r="AO14" s="9">
        <v>14.385709601516396</v>
      </c>
      <c r="AP14" s="60"/>
      <c r="AQ14" s="57" t="s">
        <v>101</v>
      </c>
      <c r="AR14" s="9">
        <v>15.958798589280002</v>
      </c>
      <c r="AS14" s="69" t="s">
        <v>38</v>
      </c>
      <c r="AT14" s="9">
        <v>4.3657296825880003</v>
      </c>
      <c r="AU14" s="242" t="s">
        <v>2455</v>
      </c>
      <c r="AV14" s="9">
        <v>3</v>
      </c>
      <c r="AW14" s="69" t="s">
        <v>126</v>
      </c>
      <c r="AX14" s="9">
        <v>101.97189047764002</v>
      </c>
      <c r="AY14" s="289" t="s">
        <v>126</v>
      </c>
      <c r="AZ14" s="9">
        <v>1.699531507960667</v>
      </c>
      <c r="BA14" s="289" t="s">
        <v>38</v>
      </c>
      <c r="BB14" s="289" t="s">
        <v>126</v>
      </c>
      <c r="BC14" s="9">
        <v>9.0136421014000021</v>
      </c>
      <c r="BD14" s="242" t="s">
        <v>101</v>
      </c>
      <c r="BE14" s="289" t="s">
        <v>126</v>
      </c>
      <c r="BF14" s="9">
        <v>8.6555182582876196</v>
      </c>
      <c r="BG14" s="289" t="s">
        <v>38</v>
      </c>
      <c r="BH14" s="57" t="s">
        <v>82</v>
      </c>
      <c r="BI14" s="9">
        <v>8.5438768747662088</v>
      </c>
      <c r="BJ14" s="69" t="s">
        <v>38</v>
      </c>
      <c r="BK14" s="289" t="s">
        <v>1534</v>
      </c>
      <c r="BL14" s="9">
        <v>8.5438768747662088</v>
      </c>
      <c r="BM14" s="57" t="s">
        <v>101</v>
      </c>
      <c r="BN14" s="242" t="s">
        <v>82</v>
      </c>
      <c r="BO14" s="9">
        <v>8.1872966689086226</v>
      </c>
    </row>
    <row r="15" spans="1:67" x14ac:dyDescent="0.45">
      <c r="A15" s="10">
        <v>13</v>
      </c>
      <c r="B15" s="10" t="s">
        <v>1457</v>
      </c>
      <c r="C15" s="63" t="s">
        <v>2109</v>
      </c>
      <c r="D15" s="65"/>
      <c r="E15" s="287" t="s">
        <v>2206</v>
      </c>
      <c r="F15" s="63" t="s">
        <v>2207</v>
      </c>
      <c r="G15" s="58" t="s">
        <v>2164</v>
      </c>
      <c r="H15" s="10"/>
      <c r="I15" s="62">
        <v>61.643400780000007</v>
      </c>
      <c r="J15" s="62">
        <v>51.369500650000006</v>
      </c>
      <c r="K15" s="62">
        <v>106.69050135000001</v>
      </c>
      <c r="L15" s="49">
        <v>456.35429275136312</v>
      </c>
      <c r="M15" s="49">
        <v>485.07824029346432</v>
      </c>
      <c r="N15" s="49">
        <v>509.35375956564849</v>
      </c>
      <c r="O15" s="61">
        <v>5.2128559702933135</v>
      </c>
      <c r="P15" s="60"/>
      <c r="Q15" s="54" t="s">
        <v>2374</v>
      </c>
      <c r="R15" s="9">
        <v>2.8493020233999999</v>
      </c>
      <c r="S15" s="69" t="s">
        <v>38</v>
      </c>
      <c r="T15" s="9">
        <v>5.6986040467999999</v>
      </c>
      <c r="U15" s="69" t="s">
        <v>38</v>
      </c>
      <c r="V15" s="9">
        <v>12</v>
      </c>
      <c r="W15" s="64" t="s">
        <v>3423</v>
      </c>
      <c r="X15" s="9">
        <v>11.787595136500002</v>
      </c>
      <c r="Y15" s="64" t="s">
        <v>52</v>
      </c>
      <c r="Z15" s="9">
        <v>16.839421623571432</v>
      </c>
      <c r="AA15" s="69" t="s">
        <v>38</v>
      </c>
      <c r="AB15" s="15" t="s">
        <v>52</v>
      </c>
      <c r="AC15" s="9">
        <v>7.9410050287060718</v>
      </c>
      <c r="AD15" s="63" t="s">
        <v>92</v>
      </c>
      <c r="AE15" s="64" t="s">
        <v>52</v>
      </c>
      <c r="AF15" s="9">
        <v>7.128108436499331</v>
      </c>
      <c r="AG15" s="69" t="s">
        <v>38</v>
      </c>
      <c r="AH15" s="15" t="s">
        <v>645</v>
      </c>
      <c r="AI15" s="9">
        <v>5.5480682455022334</v>
      </c>
      <c r="AJ15" s="54" t="s">
        <v>92</v>
      </c>
      <c r="AK15" s="64" t="s">
        <v>645</v>
      </c>
      <c r="AL15" s="9">
        <v>5.0138389849952922</v>
      </c>
      <c r="AM15" s="69" t="s">
        <v>38</v>
      </c>
      <c r="AN15" s="15" t="s">
        <v>1535</v>
      </c>
      <c r="AO15" s="9">
        <v>4.1675495702558134</v>
      </c>
      <c r="AP15" s="60"/>
      <c r="AQ15" s="54" t="s">
        <v>2374</v>
      </c>
      <c r="AR15" s="9">
        <v>2.4424555782520003</v>
      </c>
      <c r="AS15" s="69" t="s">
        <v>38</v>
      </c>
      <c r="AT15" s="9">
        <v>2.4424555782520003</v>
      </c>
      <c r="AU15" s="63" t="s">
        <v>2450</v>
      </c>
      <c r="AV15" s="9">
        <v>3</v>
      </c>
      <c r="AW15" s="15" t="s">
        <v>52</v>
      </c>
      <c r="AX15" s="9">
        <v>53.08867365910001</v>
      </c>
      <c r="AY15" s="64" t="s">
        <v>52</v>
      </c>
      <c r="AZ15" s="9">
        <v>0.75840962370142873</v>
      </c>
      <c r="BA15" s="289" t="s">
        <v>38</v>
      </c>
      <c r="BB15" s="64" t="s">
        <v>52</v>
      </c>
      <c r="BC15" s="9">
        <v>4.5238070062320554</v>
      </c>
      <c r="BD15" s="63" t="s">
        <v>92</v>
      </c>
      <c r="BE15" s="64" t="s">
        <v>52</v>
      </c>
      <c r="BF15" s="9">
        <v>3.3527666604947952</v>
      </c>
      <c r="BG15" s="289" t="s">
        <v>38</v>
      </c>
      <c r="BH15" s="15" t="s">
        <v>645</v>
      </c>
      <c r="BI15" s="9">
        <v>2.8089046491024274</v>
      </c>
      <c r="BJ15" s="69" t="s">
        <v>38</v>
      </c>
      <c r="BK15" s="64" t="s">
        <v>1535</v>
      </c>
      <c r="BL15" s="9">
        <v>2.5478404606813703</v>
      </c>
      <c r="BM15" s="54" t="s">
        <v>92</v>
      </c>
      <c r="BN15" s="64" t="s">
        <v>645</v>
      </c>
      <c r="BO15" s="9">
        <v>1.6232466014072817</v>
      </c>
    </row>
    <row r="16" spans="1:67" x14ac:dyDescent="0.45">
      <c r="A16" s="10">
        <v>14</v>
      </c>
      <c r="B16" s="10" t="s">
        <v>1456</v>
      </c>
      <c r="C16" s="63" t="s">
        <v>2109</v>
      </c>
      <c r="D16" s="65"/>
      <c r="E16" s="287" t="s">
        <v>2206</v>
      </c>
      <c r="F16" s="63" t="s">
        <v>2207</v>
      </c>
      <c r="G16" s="58" t="s">
        <v>2164</v>
      </c>
      <c r="H16" s="10"/>
      <c r="I16" s="62">
        <v>48.208300610000002</v>
      </c>
      <c r="J16" s="62">
        <v>71.127000899999999</v>
      </c>
      <c r="K16" s="62">
        <v>113.01290143000001</v>
      </c>
      <c r="L16" s="49">
        <v>432.2182328133182</v>
      </c>
      <c r="M16" s="49">
        <v>531.52402088664246</v>
      </c>
      <c r="N16" s="49">
        <v>627.16057035185452</v>
      </c>
      <c r="O16" s="61">
        <v>7.5044964182297482</v>
      </c>
      <c r="P16" s="60"/>
      <c r="Q16" s="54" t="s">
        <v>2374</v>
      </c>
      <c r="R16" s="9">
        <v>2.4462490183000001</v>
      </c>
      <c r="S16" s="69" t="s">
        <v>38</v>
      </c>
      <c r="T16" s="9">
        <v>4.8924980366000002</v>
      </c>
      <c r="U16" s="69" t="s">
        <v>38</v>
      </c>
      <c r="V16" s="9">
        <v>12</v>
      </c>
      <c r="W16" s="64" t="s">
        <v>3423</v>
      </c>
      <c r="X16" s="9">
        <v>9.4364526067500005</v>
      </c>
      <c r="Y16" s="64" t="s">
        <v>52</v>
      </c>
      <c r="Z16" s="9">
        <v>13.480646581071429</v>
      </c>
      <c r="AA16" s="69" t="s">
        <v>38</v>
      </c>
      <c r="AB16" s="15" t="s">
        <v>52</v>
      </c>
      <c r="AC16" s="9">
        <v>6.6211030151996813</v>
      </c>
      <c r="AD16" s="63" t="s">
        <v>92</v>
      </c>
      <c r="AE16" s="64" t="s">
        <v>52</v>
      </c>
      <c r="AF16" s="9">
        <v>5.9275824172925038</v>
      </c>
      <c r="AG16" s="69" t="s">
        <v>38</v>
      </c>
      <c r="AH16" s="15" t="s">
        <v>645</v>
      </c>
      <c r="AI16" s="9">
        <v>4.6259045619587056</v>
      </c>
      <c r="AJ16" s="54" t="s">
        <v>92</v>
      </c>
      <c r="AK16" s="64" t="s">
        <v>645</v>
      </c>
      <c r="AL16" s="9">
        <v>4.1694011918243881</v>
      </c>
      <c r="AM16" s="69" t="s">
        <v>38</v>
      </c>
      <c r="AN16" s="15" t="s">
        <v>1535</v>
      </c>
      <c r="AO16" s="9">
        <v>3.5582833997558136</v>
      </c>
      <c r="AP16" s="60"/>
      <c r="AQ16" s="54" t="s">
        <v>2374</v>
      </c>
      <c r="AR16" s="9">
        <v>2.128074234274</v>
      </c>
      <c r="AS16" s="69" t="s">
        <v>38</v>
      </c>
      <c r="AT16" s="9">
        <v>2.128074234274</v>
      </c>
      <c r="AU16" s="63" t="s">
        <v>2450</v>
      </c>
      <c r="AV16" s="9">
        <v>3</v>
      </c>
      <c r="AW16" s="15" t="s">
        <v>52</v>
      </c>
      <c r="AX16" s="9">
        <v>41.736014015450003</v>
      </c>
      <c r="AY16" s="64" t="s">
        <v>52</v>
      </c>
      <c r="AZ16" s="9">
        <v>0.59622877164928578</v>
      </c>
      <c r="BA16" s="289" t="s">
        <v>38</v>
      </c>
      <c r="BB16" s="64" t="s">
        <v>52</v>
      </c>
      <c r="BC16" s="9">
        <v>3.7557977869250689</v>
      </c>
      <c r="BD16" s="63" t="s">
        <v>92</v>
      </c>
      <c r="BE16" s="64" t="s">
        <v>52</v>
      </c>
      <c r="BF16" s="9">
        <v>2.7354882225471235</v>
      </c>
      <c r="BG16" s="289" t="s">
        <v>38</v>
      </c>
      <c r="BH16" s="15" t="s">
        <v>645</v>
      </c>
      <c r="BI16" s="9">
        <v>2.4146561999390777</v>
      </c>
      <c r="BJ16" s="69" t="s">
        <v>38</v>
      </c>
      <c r="BK16" s="64" t="s">
        <v>1535</v>
      </c>
      <c r="BL16" s="9">
        <v>2.2104906166867124</v>
      </c>
      <c r="BM16" s="54" t="s">
        <v>92</v>
      </c>
      <c r="BN16" s="64" t="s">
        <v>645</v>
      </c>
      <c r="BO16" s="9">
        <v>1.3816104551458737</v>
      </c>
    </row>
    <row r="17" spans="1:67" x14ac:dyDescent="0.45">
      <c r="A17" s="10">
        <v>15</v>
      </c>
      <c r="B17" s="10" t="s">
        <v>166</v>
      </c>
      <c r="C17" s="63" t="s">
        <v>2109</v>
      </c>
      <c r="D17" s="65"/>
      <c r="E17" s="287" t="s">
        <v>2206</v>
      </c>
      <c r="F17" s="63" t="s">
        <v>2207</v>
      </c>
      <c r="G17" s="58" t="s">
        <v>2164</v>
      </c>
      <c r="H17" s="10"/>
      <c r="I17" s="62">
        <v>145.41520184000001</v>
      </c>
      <c r="J17" s="62">
        <v>114.59350145000001</v>
      </c>
      <c r="K17" s="62">
        <v>140.67340178000001</v>
      </c>
      <c r="L17" s="49">
        <v>1846.2724964904253</v>
      </c>
      <c r="M17" s="49">
        <v>1764.6335280658102</v>
      </c>
      <c r="N17" s="49">
        <v>1701.9292712016947</v>
      </c>
      <c r="O17" s="61">
        <v>14.462902977526475</v>
      </c>
      <c r="P17" s="60"/>
      <c r="Q17" s="54" t="s">
        <v>2375</v>
      </c>
      <c r="R17" s="9">
        <v>9.7249121104</v>
      </c>
      <c r="S17" s="54" t="s">
        <v>171</v>
      </c>
      <c r="T17" s="9">
        <v>12.156140138</v>
      </c>
      <c r="U17" s="69" t="s">
        <v>10</v>
      </c>
      <c r="V17" s="9">
        <v>12.727</v>
      </c>
      <c r="W17" s="63" t="s">
        <v>124</v>
      </c>
      <c r="X17" s="9">
        <v>70.7992968832</v>
      </c>
      <c r="Y17" s="64" t="s">
        <v>52</v>
      </c>
      <c r="Z17" s="9">
        <v>37.782371888571433</v>
      </c>
      <c r="AA17" s="69" t="s">
        <v>38</v>
      </c>
      <c r="AB17" s="54" t="s">
        <v>124</v>
      </c>
      <c r="AC17" s="9">
        <v>17.858726393278349</v>
      </c>
      <c r="AD17" s="63" t="s">
        <v>171</v>
      </c>
      <c r="AE17" s="63" t="s">
        <v>124</v>
      </c>
      <c r="AF17" s="9">
        <v>17.501616465283423</v>
      </c>
      <c r="AG17" s="69" t="s">
        <v>10</v>
      </c>
      <c r="AH17" s="54" t="s">
        <v>124</v>
      </c>
      <c r="AI17" s="9">
        <v>16.943070663816513</v>
      </c>
      <c r="AJ17" s="69" t="s">
        <v>38</v>
      </c>
      <c r="AK17" s="64" t="s">
        <v>52</v>
      </c>
      <c r="AL17" s="9">
        <v>16.17098228939297</v>
      </c>
      <c r="AM17" s="54" t="s">
        <v>171</v>
      </c>
      <c r="AN17" s="15" t="s">
        <v>52</v>
      </c>
      <c r="AO17" s="9">
        <v>16.134024052819431</v>
      </c>
      <c r="AP17" s="60"/>
      <c r="AQ17" s="54" t="s">
        <v>2375</v>
      </c>
      <c r="AR17" s="9">
        <v>7.8054314461120002</v>
      </c>
      <c r="AS17" s="69" t="s">
        <v>38</v>
      </c>
      <c r="AT17" s="9">
        <v>4.4027157230560006</v>
      </c>
      <c r="AU17" s="289" t="s">
        <v>10</v>
      </c>
      <c r="AV17" s="9">
        <v>3.6666666666666998</v>
      </c>
      <c r="AW17" s="15" t="s">
        <v>52</v>
      </c>
      <c r="AX17" s="9">
        <v>123.87584555480001</v>
      </c>
      <c r="AY17" s="63" t="s">
        <v>124</v>
      </c>
      <c r="AZ17" s="9">
        <v>1.8347817189632003</v>
      </c>
      <c r="BA17" s="63" t="s">
        <v>171</v>
      </c>
      <c r="BB17" s="63" t="s">
        <v>124</v>
      </c>
      <c r="BC17" s="9">
        <v>9.649020317221682</v>
      </c>
      <c r="BD17" s="63" t="s">
        <v>171</v>
      </c>
      <c r="BE17" s="64" t="s">
        <v>52</v>
      </c>
      <c r="BF17" s="9">
        <v>9.6157219055200009</v>
      </c>
      <c r="BG17" s="289" t="s">
        <v>38</v>
      </c>
      <c r="BH17" s="54" t="s">
        <v>124</v>
      </c>
      <c r="BI17" s="9">
        <v>9.3462838490052835</v>
      </c>
      <c r="BJ17" s="69" t="s">
        <v>38</v>
      </c>
      <c r="BK17" s="64" t="s">
        <v>52</v>
      </c>
      <c r="BL17" s="9">
        <v>9.3125703736756176</v>
      </c>
      <c r="BM17" s="69" t="s">
        <v>10</v>
      </c>
      <c r="BN17" s="63" t="s">
        <v>124</v>
      </c>
      <c r="BO17" s="9">
        <v>8.691934892766211</v>
      </c>
    </row>
    <row r="18" spans="1:67" x14ac:dyDescent="0.45">
      <c r="A18" s="10">
        <v>16</v>
      </c>
      <c r="B18" s="10" t="s">
        <v>1455</v>
      </c>
      <c r="C18" s="64" t="s">
        <v>2110</v>
      </c>
      <c r="D18" s="65"/>
      <c r="E18" s="56" t="s">
        <v>2208</v>
      </c>
      <c r="F18" s="289" t="s">
        <v>2118</v>
      </c>
      <c r="G18" s="80" t="s">
        <v>2191</v>
      </c>
      <c r="H18" s="10"/>
      <c r="I18" s="62">
        <v>79.030000999999999</v>
      </c>
      <c r="J18" s="62">
        <v>69.546400880000007</v>
      </c>
      <c r="K18" s="62">
        <v>106.69050135000001</v>
      </c>
      <c r="L18" s="49">
        <v>680.75712453731785</v>
      </c>
      <c r="M18" s="49">
        <v>700.58623797623773</v>
      </c>
      <c r="N18" s="49">
        <v>716.86458790732979</v>
      </c>
      <c r="O18" s="61">
        <v>6.9374646774280322</v>
      </c>
      <c r="P18" s="60"/>
      <c r="Q18" s="15" t="s">
        <v>291</v>
      </c>
      <c r="R18" s="9">
        <v>4.7934400479999999</v>
      </c>
      <c r="S18" s="15" t="s">
        <v>127</v>
      </c>
      <c r="T18" s="9">
        <v>6.7418000600000001</v>
      </c>
      <c r="U18" s="15" t="s">
        <v>291</v>
      </c>
      <c r="V18" s="9">
        <v>12.5</v>
      </c>
      <c r="W18" s="287" t="s">
        <v>210</v>
      </c>
      <c r="X18" s="9">
        <v>29.450800359999999</v>
      </c>
      <c r="Y18" s="287" t="s">
        <v>203</v>
      </c>
      <c r="Z18" s="9">
        <v>11.283291804166666</v>
      </c>
      <c r="AA18" s="15" t="s">
        <v>127</v>
      </c>
      <c r="AB18" s="16" t="s">
        <v>203</v>
      </c>
      <c r="AC18" s="9">
        <v>8.6428896273255802</v>
      </c>
      <c r="AD18" s="64" t="s">
        <v>291</v>
      </c>
      <c r="AE18" s="287" t="s">
        <v>203</v>
      </c>
      <c r="AF18" s="9">
        <v>8.4982961493421048</v>
      </c>
      <c r="AG18" s="15" t="s">
        <v>127</v>
      </c>
      <c r="AH18" s="16" t="s">
        <v>210</v>
      </c>
      <c r="AI18" s="9">
        <v>8.2025715142857152</v>
      </c>
      <c r="AJ18" s="15" t="s">
        <v>291</v>
      </c>
      <c r="AK18" s="287" t="s">
        <v>210</v>
      </c>
      <c r="AL18" s="9">
        <v>7.9728359104477606</v>
      </c>
      <c r="AM18" s="15" t="s">
        <v>127</v>
      </c>
      <c r="AN18" s="66" t="s">
        <v>1514</v>
      </c>
      <c r="AO18" s="9">
        <v>6.7262636562500004</v>
      </c>
      <c r="AP18" s="60"/>
      <c r="AQ18" s="15" t="s">
        <v>291</v>
      </c>
      <c r="AR18" s="9">
        <v>4.0821700390000002</v>
      </c>
      <c r="AS18" s="15" t="s">
        <v>127</v>
      </c>
      <c r="AT18" s="9">
        <v>2.8493020233999999</v>
      </c>
      <c r="AU18" s="64" t="s">
        <v>291</v>
      </c>
      <c r="AV18" s="9">
        <v>3.5</v>
      </c>
      <c r="AW18" s="16" t="s">
        <v>210</v>
      </c>
      <c r="AX18" s="9">
        <v>37.986040467999999</v>
      </c>
      <c r="AY18" s="287" t="s">
        <v>203</v>
      </c>
      <c r="AZ18" s="9">
        <v>0.77564156508888893</v>
      </c>
      <c r="BA18" s="64" t="s">
        <v>291</v>
      </c>
      <c r="BB18" s="287" t="s">
        <v>203</v>
      </c>
      <c r="BC18" s="9">
        <v>4.412626234618557</v>
      </c>
      <c r="BD18" s="64" t="s">
        <v>127</v>
      </c>
      <c r="BE18" s="287" t="s">
        <v>203</v>
      </c>
      <c r="BF18" s="9">
        <v>4.2133262108723404</v>
      </c>
      <c r="BG18" s="64" t="s">
        <v>291</v>
      </c>
      <c r="BH18" s="16" t="s">
        <v>210</v>
      </c>
      <c r="BI18" s="9">
        <v>4.1916379095811962</v>
      </c>
      <c r="BJ18" s="15" t="s">
        <v>127</v>
      </c>
      <c r="BK18" s="287" t="s">
        <v>210</v>
      </c>
      <c r="BL18" s="9">
        <v>4.0821700389999993</v>
      </c>
      <c r="BM18" s="15" t="s">
        <v>127</v>
      </c>
      <c r="BN18" s="78" t="s">
        <v>1514</v>
      </c>
      <c r="BO18" s="9">
        <v>3.7542796093191488</v>
      </c>
    </row>
    <row r="19" spans="1:67" x14ac:dyDescent="0.45">
      <c r="A19" s="10">
        <v>17</v>
      </c>
      <c r="B19" s="10" t="s">
        <v>1454</v>
      </c>
      <c r="C19" s="64" t="s">
        <v>2110</v>
      </c>
      <c r="D19" s="65"/>
      <c r="E19" s="56" t="s">
        <v>2208</v>
      </c>
      <c r="F19" s="289" t="s">
        <v>2118</v>
      </c>
      <c r="G19" s="80" t="s">
        <v>2191</v>
      </c>
      <c r="H19" s="10"/>
      <c r="I19" s="62">
        <v>104.31960132</v>
      </c>
      <c r="J19" s="62">
        <v>94.836001200000013</v>
      </c>
      <c r="K19" s="62">
        <v>138.30250175</v>
      </c>
      <c r="L19" s="49">
        <v>1194.7239048556855</v>
      </c>
      <c r="M19" s="49">
        <v>1232.4788032957977</v>
      </c>
      <c r="N19" s="49">
        <v>1263.5399655680803</v>
      </c>
      <c r="O19" s="61">
        <v>11.979927776900002</v>
      </c>
      <c r="P19" s="60"/>
      <c r="Q19" s="53" t="s">
        <v>185</v>
      </c>
      <c r="R19" s="9">
        <v>6.7375780725999999</v>
      </c>
      <c r="S19" s="53" t="s">
        <v>185</v>
      </c>
      <c r="T19" s="9">
        <v>8.4219725907499985</v>
      </c>
      <c r="U19" s="16" t="s">
        <v>1505</v>
      </c>
      <c r="V19" s="9">
        <v>11.25</v>
      </c>
      <c r="W19" s="287" t="s">
        <v>210</v>
      </c>
      <c r="X19" s="9">
        <v>38.555056475199997</v>
      </c>
      <c r="Y19" s="287" t="s">
        <v>203</v>
      </c>
      <c r="Z19" s="9">
        <v>14.760611848166668</v>
      </c>
      <c r="AA19" s="16" t="s">
        <v>1505</v>
      </c>
      <c r="AB19" s="16" t="s">
        <v>203</v>
      </c>
      <c r="AC19" s="9">
        <v>10.754293743765194</v>
      </c>
      <c r="AD19" s="59" t="s">
        <v>185</v>
      </c>
      <c r="AE19" s="287" t="s">
        <v>203</v>
      </c>
      <c r="AF19" s="9">
        <v>10.644612330363637</v>
      </c>
      <c r="AG19" s="53" t="s">
        <v>185</v>
      </c>
      <c r="AH19" s="16" t="s">
        <v>210</v>
      </c>
      <c r="AI19" s="9">
        <v>10.110484741658363</v>
      </c>
      <c r="AJ19" s="16" t="s">
        <v>1505</v>
      </c>
      <c r="AK19" s="287" t="s">
        <v>210</v>
      </c>
      <c r="AL19" s="9">
        <v>10.067846834289268</v>
      </c>
      <c r="AM19" s="53" t="s">
        <v>185</v>
      </c>
      <c r="AN19" s="66" t="s">
        <v>1514</v>
      </c>
      <c r="AO19" s="9">
        <v>8.5448787776533734</v>
      </c>
      <c r="AP19" s="60"/>
      <c r="AQ19" s="53" t="s">
        <v>185</v>
      </c>
      <c r="AR19" s="9">
        <v>5.7465418600600007</v>
      </c>
      <c r="AS19" s="53" t="s">
        <v>185</v>
      </c>
      <c r="AT19" s="9">
        <v>2.8732709300300003</v>
      </c>
      <c r="AU19" s="287" t="s">
        <v>1505</v>
      </c>
      <c r="AV19" s="9">
        <v>3.5</v>
      </c>
      <c r="AW19" s="16" t="s">
        <v>210</v>
      </c>
      <c r="AX19" s="9">
        <v>49.821573417760007</v>
      </c>
      <c r="AY19" s="287" t="s">
        <v>203</v>
      </c>
      <c r="AZ19" s="9">
        <v>1.0167357548062224</v>
      </c>
      <c r="BA19" s="287" t="s">
        <v>1505</v>
      </c>
      <c r="BB19" s="287" t="s">
        <v>203</v>
      </c>
      <c r="BC19" s="9">
        <v>5.6531202379439183</v>
      </c>
      <c r="BD19" s="287" t="s">
        <v>1505</v>
      </c>
      <c r="BE19" s="287" t="s">
        <v>210</v>
      </c>
      <c r="BF19" s="9">
        <v>5.3633893910745298</v>
      </c>
      <c r="BG19" s="59" t="s">
        <v>185</v>
      </c>
      <c r="BH19" s="16" t="s">
        <v>203</v>
      </c>
      <c r="BI19" s="9">
        <v>5.1301045108852632</v>
      </c>
      <c r="BJ19" s="53" t="s">
        <v>185</v>
      </c>
      <c r="BK19" s="287" t="s">
        <v>210</v>
      </c>
      <c r="BL19" s="9">
        <v>4.9145014729747833</v>
      </c>
      <c r="BM19" s="16" t="s">
        <v>1505</v>
      </c>
      <c r="BN19" s="78" t="s">
        <v>1514</v>
      </c>
      <c r="BO19" s="9">
        <v>4.6255183919515463</v>
      </c>
    </row>
    <row r="20" spans="1:67" x14ac:dyDescent="0.45">
      <c r="A20" s="10">
        <v>18</v>
      </c>
      <c r="B20" s="10" t="s">
        <v>1452</v>
      </c>
      <c r="C20" s="64" t="s">
        <v>2110</v>
      </c>
      <c r="D20" s="65"/>
      <c r="E20" s="56" t="s">
        <v>2208</v>
      </c>
      <c r="F20" s="289" t="s">
        <v>2118</v>
      </c>
      <c r="G20" s="80" t="s">
        <v>2191</v>
      </c>
      <c r="H20" s="10"/>
      <c r="I20" s="62">
        <v>143.04430181000001</v>
      </c>
      <c r="J20" s="62">
        <v>133.56070169</v>
      </c>
      <c r="K20" s="62">
        <v>165.96300210000001</v>
      </c>
      <c r="L20" s="49">
        <v>2129.6858697919911</v>
      </c>
      <c r="M20" s="49">
        <v>2158.2762133838364</v>
      </c>
      <c r="N20" s="49">
        <v>2181.4245895218273</v>
      </c>
      <c r="O20" s="61">
        <v>19.554431431865943</v>
      </c>
      <c r="P20" s="60"/>
      <c r="Q20" s="16" t="s">
        <v>158</v>
      </c>
      <c r="R20" s="9">
        <v>13.01572135204</v>
      </c>
      <c r="S20" s="53" t="s">
        <v>185</v>
      </c>
      <c r="T20" s="9">
        <v>11.0842957494375</v>
      </c>
      <c r="U20" s="16" t="s">
        <v>1505</v>
      </c>
      <c r="V20" s="9">
        <v>11.25</v>
      </c>
      <c r="W20" s="287" t="s">
        <v>1530</v>
      </c>
      <c r="X20" s="9">
        <v>95.409239194600005</v>
      </c>
      <c r="Y20" s="287" t="s">
        <v>1517</v>
      </c>
      <c r="Z20" s="9">
        <v>39.121961488700002</v>
      </c>
      <c r="AA20" s="16" t="s">
        <v>1505</v>
      </c>
      <c r="AB20" s="16" t="s">
        <v>1530</v>
      </c>
      <c r="AC20" s="9">
        <v>15.43111845830569</v>
      </c>
      <c r="AD20" s="287" t="s">
        <v>158</v>
      </c>
      <c r="AE20" s="287" t="s">
        <v>1530</v>
      </c>
      <c r="AF20" s="9">
        <v>15.344656647278912</v>
      </c>
      <c r="AG20" s="53" t="s">
        <v>185</v>
      </c>
      <c r="AH20" s="16" t="s">
        <v>1530</v>
      </c>
      <c r="AI20" s="9">
        <v>15.101574318217791</v>
      </c>
      <c r="AJ20" s="16" t="s">
        <v>158</v>
      </c>
      <c r="AK20" s="287" t="s">
        <v>1517</v>
      </c>
      <c r="AL20" s="9">
        <v>14.885795464128572</v>
      </c>
      <c r="AM20" s="16" t="s">
        <v>1505</v>
      </c>
      <c r="AN20" s="16" t="s">
        <v>1517</v>
      </c>
      <c r="AO20" s="9">
        <v>14.882538001720688</v>
      </c>
      <c r="AP20" s="60"/>
      <c r="AQ20" s="16" t="s">
        <v>158</v>
      </c>
      <c r="AR20" s="9">
        <v>11.041709987062001</v>
      </c>
      <c r="AS20" s="53" t="s">
        <v>185</v>
      </c>
      <c r="AT20" s="9">
        <v>3.7542578661775003</v>
      </c>
      <c r="AU20" s="287" t="s">
        <v>1505</v>
      </c>
      <c r="AV20" s="9">
        <v>3.5</v>
      </c>
      <c r="AW20" s="16" t="s">
        <v>1530</v>
      </c>
      <c r="AX20" s="9">
        <v>123.73201095298</v>
      </c>
      <c r="AY20" s="287" t="s">
        <v>1530</v>
      </c>
      <c r="AZ20" s="9">
        <v>1.9035693992766154</v>
      </c>
      <c r="BA20" s="287" t="s">
        <v>1505</v>
      </c>
      <c r="BB20" s="287" t="s">
        <v>1530</v>
      </c>
      <c r="BC20" s="9">
        <v>9.4433677500672264</v>
      </c>
      <c r="BD20" s="287" t="s">
        <v>1505</v>
      </c>
      <c r="BE20" s="287" t="s">
        <v>1517</v>
      </c>
      <c r="BF20" s="9">
        <v>9.1602540724511972</v>
      </c>
      <c r="BG20" s="287" t="s">
        <v>158</v>
      </c>
      <c r="BH20" s="16" t="s">
        <v>1530</v>
      </c>
      <c r="BI20" s="9">
        <v>8.9769570967443624</v>
      </c>
      <c r="BJ20" s="16" t="s">
        <v>158</v>
      </c>
      <c r="BK20" s="287" t="s">
        <v>1517</v>
      </c>
      <c r="BL20" s="9">
        <v>8.7359077478390237</v>
      </c>
      <c r="BM20" s="53" t="s">
        <v>185</v>
      </c>
      <c r="BN20" s="287" t="s">
        <v>1530</v>
      </c>
      <c r="BO20" s="9">
        <v>8.1978783508738893</v>
      </c>
    </row>
    <row r="21" spans="1:67" x14ac:dyDescent="0.45">
      <c r="A21" s="10">
        <v>19</v>
      </c>
      <c r="B21" s="10" t="s">
        <v>1448</v>
      </c>
      <c r="C21" s="64" t="s">
        <v>1889</v>
      </c>
      <c r="D21" s="65"/>
      <c r="E21" s="58" t="s">
        <v>1903</v>
      </c>
      <c r="F21" s="77"/>
      <c r="G21" s="77" t="s">
        <v>1888</v>
      </c>
      <c r="H21" s="10"/>
      <c r="I21" s="62">
        <v>93.255401180000007</v>
      </c>
      <c r="J21" s="62">
        <v>67.175500850000006</v>
      </c>
      <c r="K21" s="62">
        <v>92.465101170000011</v>
      </c>
      <c r="L21" s="49">
        <v>734.9679074160839</v>
      </c>
      <c r="M21" s="49">
        <v>694.87790828905975</v>
      </c>
      <c r="N21" s="49">
        <v>664.38620709816291</v>
      </c>
      <c r="O21" s="61">
        <v>5.8204011217398932</v>
      </c>
      <c r="P21" s="60"/>
      <c r="Q21" s="15" t="s">
        <v>291</v>
      </c>
      <c r="R21" s="9">
        <v>5.4762592566400006</v>
      </c>
      <c r="S21" s="15" t="s">
        <v>127</v>
      </c>
      <c r="T21" s="9">
        <v>7.5953240708000003</v>
      </c>
      <c r="U21" s="15" t="s">
        <v>291</v>
      </c>
      <c r="V21" s="9">
        <v>12.5</v>
      </c>
      <c r="W21" s="80" t="s">
        <v>1490</v>
      </c>
      <c r="X21" s="9">
        <v>47.627700590000003</v>
      </c>
      <c r="Y21" s="64" t="s">
        <v>52</v>
      </c>
      <c r="Z21" s="9">
        <v>29.405191782571428</v>
      </c>
      <c r="AA21" s="15" t="s">
        <v>291</v>
      </c>
      <c r="AB21" s="15" t="s">
        <v>52</v>
      </c>
      <c r="AC21" s="9">
        <v>11.535989634633665</v>
      </c>
      <c r="AD21" s="64" t="s">
        <v>127</v>
      </c>
      <c r="AE21" s="64" t="s">
        <v>52</v>
      </c>
      <c r="AF21" s="9">
        <v>11.3805077232562</v>
      </c>
      <c r="AG21" s="15" t="s">
        <v>291</v>
      </c>
      <c r="AH21" s="15" t="s">
        <v>1493</v>
      </c>
      <c r="AI21" s="9">
        <v>11.252905976861539</v>
      </c>
      <c r="AJ21" s="15" t="s">
        <v>127</v>
      </c>
      <c r="AK21" s="64" t="s">
        <v>1493</v>
      </c>
      <c r="AL21" s="9">
        <v>11.165228389386668</v>
      </c>
      <c r="AM21" s="15" t="s">
        <v>127</v>
      </c>
      <c r="AN21" s="15" t="s">
        <v>1480</v>
      </c>
      <c r="AO21" s="9">
        <v>10.374719857961784</v>
      </c>
      <c r="AP21" s="60"/>
      <c r="AQ21" s="15" t="s">
        <v>291</v>
      </c>
      <c r="AR21" s="9">
        <v>4.6369606460200004</v>
      </c>
      <c r="AS21" s="15" t="s">
        <v>127</v>
      </c>
      <c r="AT21" s="9">
        <v>3.1821763876120004</v>
      </c>
      <c r="AU21" s="64" t="s">
        <v>291</v>
      </c>
      <c r="AV21" s="9">
        <v>3.5</v>
      </c>
      <c r="AW21" s="15" t="s">
        <v>52</v>
      </c>
      <c r="AX21" s="9">
        <v>95.560976796520009</v>
      </c>
      <c r="AY21" s="64" t="s">
        <v>52</v>
      </c>
      <c r="AZ21" s="9">
        <v>1.3651568113788572</v>
      </c>
      <c r="BA21" s="64" t="s">
        <v>291</v>
      </c>
      <c r="BB21" s="64" t="s">
        <v>52</v>
      </c>
      <c r="BC21" s="9">
        <v>6.7585992027009532</v>
      </c>
      <c r="BD21" s="64" t="s">
        <v>291</v>
      </c>
      <c r="BE21" s="64" t="s">
        <v>1480</v>
      </c>
      <c r="BF21" s="9">
        <v>6.1662119074854553</v>
      </c>
      <c r="BG21" s="64" t="s">
        <v>291</v>
      </c>
      <c r="BH21" s="15" t="s">
        <v>1493</v>
      </c>
      <c r="BI21" s="9">
        <v>6.0391366790209347</v>
      </c>
      <c r="BJ21" s="15" t="s">
        <v>127</v>
      </c>
      <c r="BK21" s="64" t="s">
        <v>52</v>
      </c>
      <c r="BL21" s="9">
        <v>5.7482541767483344</v>
      </c>
      <c r="BM21" s="15" t="s">
        <v>127</v>
      </c>
      <c r="BN21" s="64" t="s">
        <v>1480</v>
      </c>
      <c r="BO21" s="9">
        <v>5.4233305154297309</v>
      </c>
    </row>
    <row r="22" spans="1:67" x14ac:dyDescent="0.45">
      <c r="A22" s="10">
        <v>19</v>
      </c>
      <c r="B22" s="10" t="s">
        <v>1450</v>
      </c>
      <c r="C22" s="64" t="s">
        <v>2111</v>
      </c>
      <c r="D22" s="58" t="s">
        <v>1903</v>
      </c>
      <c r="E22" s="289" t="s">
        <v>2209</v>
      </c>
      <c r="F22" s="76" t="s">
        <v>1891</v>
      </c>
      <c r="G22" s="242" t="s">
        <v>1925</v>
      </c>
      <c r="H22" s="77" t="s">
        <v>1888</v>
      </c>
      <c r="I22" s="62">
        <v>93.255401180000007</v>
      </c>
      <c r="J22" s="62">
        <v>67.175500850000006</v>
      </c>
      <c r="K22" s="62">
        <v>92.465101170000011</v>
      </c>
      <c r="L22" s="49">
        <v>734.9679074160839</v>
      </c>
      <c r="M22" s="49">
        <v>694.87790828905975</v>
      </c>
      <c r="N22" s="49">
        <v>664.38620709816291</v>
      </c>
      <c r="O22" s="61">
        <v>5.8204011217398932</v>
      </c>
      <c r="P22" s="60"/>
      <c r="Q22" s="15" t="s">
        <v>291</v>
      </c>
      <c r="R22" s="9">
        <v>5.4762592566400006</v>
      </c>
      <c r="S22" s="15" t="s">
        <v>127</v>
      </c>
      <c r="T22" s="9">
        <v>7.5953240708000003</v>
      </c>
      <c r="U22" s="15" t="s">
        <v>291</v>
      </c>
      <c r="V22" s="9">
        <v>12.5</v>
      </c>
      <c r="W22" s="77" t="s">
        <v>73</v>
      </c>
      <c r="X22" s="9">
        <v>47.627700590000003</v>
      </c>
      <c r="Y22" s="64" t="s">
        <v>1493</v>
      </c>
      <c r="Z22" s="9">
        <v>18.305037026560001</v>
      </c>
      <c r="AA22" s="15" t="s">
        <v>291</v>
      </c>
      <c r="AB22" s="15" t="s">
        <v>1493</v>
      </c>
      <c r="AC22" s="9">
        <v>11.252905976861539</v>
      </c>
      <c r="AD22" s="64" t="s">
        <v>127</v>
      </c>
      <c r="AE22" s="64" t="s">
        <v>1493</v>
      </c>
      <c r="AF22" s="9">
        <v>11.165228389386668</v>
      </c>
      <c r="AG22" s="15" t="s">
        <v>291</v>
      </c>
      <c r="AH22" s="68" t="s">
        <v>73</v>
      </c>
      <c r="AI22" s="9">
        <v>10.715570981885715</v>
      </c>
      <c r="AJ22" s="15" t="s">
        <v>127</v>
      </c>
      <c r="AK22" s="77" t="s">
        <v>73</v>
      </c>
      <c r="AL22" s="9">
        <v>10.700540118000001</v>
      </c>
      <c r="AM22" s="15" t="s">
        <v>127</v>
      </c>
      <c r="AN22" s="67" t="s">
        <v>91</v>
      </c>
      <c r="AO22" s="9">
        <v>10.023216642591837</v>
      </c>
      <c r="AP22" s="60"/>
      <c r="AQ22" s="15" t="s">
        <v>291</v>
      </c>
      <c r="AR22" s="9">
        <v>4.6369606460200004</v>
      </c>
      <c r="AS22" s="15" t="s">
        <v>127</v>
      </c>
      <c r="AT22" s="9">
        <v>3.1821763876120004</v>
      </c>
      <c r="AU22" s="64" t="s">
        <v>291</v>
      </c>
      <c r="AV22" s="9">
        <v>3.5</v>
      </c>
      <c r="AW22" s="68" t="s">
        <v>73</v>
      </c>
      <c r="AX22" s="9">
        <v>61.616010767000006</v>
      </c>
      <c r="AY22" s="64" t="s">
        <v>1493</v>
      </c>
      <c r="AZ22" s="9">
        <v>1.1838274067264001</v>
      </c>
      <c r="BA22" s="64" t="s">
        <v>291</v>
      </c>
      <c r="BB22" s="64" t="s">
        <v>1493</v>
      </c>
      <c r="BC22" s="9">
        <v>6.0391366790209347</v>
      </c>
      <c r="BD22" s="64" t="s">
        <v>291</v>
      </c>
      <c r="BE22" s="76" t="s">
        <v>91</v>
      </c>
      <c r="BF22" s="9">
        <v>5.8977873441325777</v>
      </c>
      <c r="BG22" s="64" t="s">
        <v>291</v>
      </c>
      <c r="BH22" s="68" t="s">
        <v>73</v>
      </c>
      <c r="BI22" s="9">
        <v>5.8661958196589747</v>
      </c>
      <c r="BJ22" s="15" t="s">
        <v>127</v>
      </c>
      <c r="BK22" s="64" t="s">
        <v>1493</v>
      </c>
      <c r="BL22" s="9">
        <v>5.3363761548700008</v>
      </c>
      <c r="BM22" s="15" t="s">
        <v>127</v>
      </c>
      <c r="BN22" s="76" t="s">
        <v>91</v>
      </c>
      <c r="BO22" s="9">
        <v>5.2560177772574477</v>
      </c>
    </row>
    <row r="23" spans="1:67" x14ac:dyDescent="0.45">
      <c r="A23" s="10">
        <v>20</v>
      </c>
      <c r="B23" s="10" t="s">
        <v>1447</v>
      </c>
      <c r="C23" s="64" t="s">
        <v>1889</v>
      </c>
      <c r="D23" s="65"/>
      <c r="E23" s="58" t="s">
        <v>1903</v>
      </c>
      <c r="F23" s="77"/>
      <c r="G23" s="77" t="s">
        <v>1888</v>
      </c>
      <c r="H23" s="10"/>
      <c r="I23" s="62">
        <v>139.09280176000001</v>
      </c>
      <c r="J23" s="62">
        <v>121.70620154000001</v>
      </c>
      <c r="K23" s="62">
        <v>127.23830161000001</v>
      </c>
      <c r="L23" s="49">
        <v>1730.891882228251</v>
      </c>
      <c r="M23" s="49">
        <v>1667.8493421620283</v>
      </c>
      <c r="N23" s="49">
        <v>1619.0725862969987</v>
      </c>
      <c r="O23" s="61">
        <v>13.805478081598848</v>
      </c>
      <c r="P23" s="60"/>
      <c r="Q23" s="15" t="s">
        <v>291</v>
      </c>
      <c r="R23" s="9">
        <v>7.6764544844800007</v>
      </c>
      <c r="S23" s="67" t="s">
        <v>66</v>
      </c>
      <c r="T23" s="9">
        <v>10.345568105600002</v>
      </c>
      <c r="U23" s="15" t="s">
        <v>291</v>
      </c>
      <c r="V23" s="9">
        <v>12.5</v>
      </c>
      <c r="W23" s="64" t="s">
        <v>112</v>
      </c>
      <c r="X23" s="9">
        <v>126.183521584</v>
      </c>
      <c r="Y23" s="64" t="s">
        <v>52</v>
      </c>
      <c r="Z23" s="9">
        <v>43.156411956571432</v>
      </c>
      <c r="AA23" s="15" t="s">
        <v>291</v>
      </c>
      <c r="AB23" s="15" t="s">
        <v>112</v>
      </c>
      <c r="AC23" s="9">
        <v>17.198988680406782</v>
      </c>
      <c r="AD23" s="64" t="s">
        <v>291</v>
      </c>
      <c r="AE23" s="64" t="s">
        <v>52</v>
      </c>
      <c r="AF23" s="9">
        <v>16.573565341940593</v>
      </c>
      <c r="AG23" s="15" t="s">
        <v>291</v>
      </c>
      <c r="AH23" s="15" t="s">
        <v>1493</v>
      </c>
      <c r="AI23" s="9">
        <v>16.330279579569233</v>
      </c>
      <c r="AJ23" s="67" t="s">
        <v>66</v>
      </c>
      <c r="AK23" s="64" t="s">
        <v>112</v>
      </c>
      <c r="AL23" s="9">
        <v>15.675038214969327</v>
      </c>
      <c r="AM23" s="67" t="s">
        <v>66</v>
      </c>
      <c r="AN23" s="15" t="s">
        <v>1493</v>
      </c>
      <c r="AO23" s="9">
        <v>15.134210914834288</v>
      </c>
      <c r="AP23" s="60"/>
      <c r="AQ23" s="15" t="s">
        <v>291</v>
      </c>
      <c r="AR23" s="9">
        <v>6.4246192686400008</v>
      </c>
      <c r="AS23" s="67" t="s">
        <v>66</v>
      </c>
      <c r="AT23" s="9">
        <v>4.6164128457600002</v>
      </c>
      <c r="AU23" s="64" t="s">
        <v>291</v>
      </c>
      <c r="AV23" s="9">
        <v>3.5</v>
      </c>
      <c r="AW23" s="15" t="s">
        <v>112</v>
      </c>
      <c r="AX23" s="9">
        <v>163.73857805920002</v>
      </c>
      <c r="AY23" s="64" t="s">
        <v>112</v>
      </c>
      <c r="AZ23" s="9">
        <v>2.0467322257400005</v>
      </c>
      <c r="BA23" s="64" t="s">
        <v>291</v>
      </c>
      <c r="BB23" s="64" t="s">
        <v>112</v>
      </c>
      <c r="BC23" s="9">
        <v>9.9409556162011992</v>
      </c>
      <c r="BD23" s="64" t="s">
        <v>291</v>
      </c>
      <c r="BE23" s="64" t="s">
        <v>52</v>
      </c>
      <c r="BF23" s="9">
        <v>9.823156841478097</v>
      </c>
      <c r="BG23" s="64" t="s">
        <v>291</v>
      </c>
      <c r="BH23" s="15" t="s">
        <v>1493</v>
      </c>
      <c r="BI23" s="9">
        <v>8.7456852478474776</v>
      </c>
      <c r="BJ23" s="67" t="s">
        <v>66</v>
      </c>
      <c r="BK23" s="64" t="s">
        <v>112</v>
      </c>
      <c r="BL23" s="9">
        <v>8.4974412656000009</v>
      </c>
      <c r="BM23" s="67" t="s">
        <v>66</v>
      </c>
      <c r="BN23" s="64" t="s">
        <v>52</v>
      </c>
      <c r="BO23" s="9">
        <v>8.4337375162844452</v>
      </c>
    </row>
    <row r="24" spans="1:67" x14ac:dyDescent="0.45">
      <c r="A24" s="10">
        <v>20</v>
      </c>
      <c r="B24" s="10" t="s">
        <v>1446</v>
      </c>
      <c r="C24" s="64" t="s">
        <v>2111</v>
      </c>
      <c r="D24" s="58" t="s">
        <v>1903</v>
      </c>
      <c r="E24" s="289" t="s">
        <v>2209</v>
      </c>
      <c r="F24" s="76" t="s">
        <v>1891</v>
      </c>
      <c r="G24" s="242" t="s">
        <v>1925</v>
      </c>
      <c r="H24" s="77" t="s">
        <v>1888</v>
      </c>
      <c r="I24" s="62">
        <v>118.54500150000001</v>
      </c>
      <c r="J24" s="62">
        <v>133.56070169</v>
      </c>
      <c r="K24" s="62">
        <v>154.89880196000001</v>
      </c>
      <c r="L24" s="49">
        <v>1705.0873088503806</v>
      </c>
      <c r="M24" s="49">
        <v>1818.6117730091519</v>
      </c>
      <c r="N24" s="49">
        <v>1914.8497360697554</v>
      </c>
      <c r="O24" s="61">
        <v>18.250802669741546</v>
      </c>
      <c r="P24" s="60"/>
      <c r="Q24" s="15" t="s">
        <v>291</v>
      </c>
      <c r="R24" s="9">
        <v>6.6901600720000003</v>
      </c>
      <c r="S24" s="67" t="s">
        <v>66</v>
      </c>
      <c r="T24" s="9">
        <v>10.535240108</v>
      </c>
      <c r="U24" s="15" t="s">
        <v>291</v>
      </c>
      <c r="V24" s="9">
        <v>12.5</v>
      </c>
      <c r="W24" s="64" t="s">
        <v>112</v>
      </c>
      <c r="X24" s="9">
        <v>107.69050135000001</v>
      </c>
      <c r="Y24" s="64" t="s">
        <v>112</v>
      </c>
      <c r="Z24" s="9">
        <v>28.339605618421054</v>
      </c>
      <c r="AA24" s="15" t="s">
        <v>291</v>
      </c>
      <c r="AB24" s="15" t="s">
        <v>112</v>
      </c>
      <c r="AC24" s="9">
        <v>14.79594085338983</v>
      </c>
      <c r="AD24" s="76" t="s">
        <v>66</v>
      </c>
      <c r="AE24" s="64" t="s">
        <v>112</v>
      </c>
      <c r="AF24" s="9">
        <v>14.68595108588957</v>
      </c>
      <c r="AG24" s="67" t="s">
        <v>66</v>
      </c>
      <c r="AH24" s="15" t="s">
        <v>1493</v>
      </c>
      <c r="AI24" s="9">
        <v>14.142497302285715</v>
      </c>
      <c r="AJ24" s="15" t="s">
        <v>291</v>
      </c>
      <c r="AK24" s="64" t="s">
        <v>1493</v>
      </c>
      <c r="AL24" s="9">
        <v>14.054215550769232</v>
      </c>
      <c r="AM24" s="67" t="s">
        <v>66</v>
      </c>
      <c r="AN24" s="67" t="s">
        <v>91</v>
      </c>
      <c r="AO24" s="9">
        <v>12.853267114932127</v>
      </c>
      <c r="AP24" s="60"/>
      <c r="AQ24" s="15" t="s">
        <v>291</v>
      </c>
      <c r="AR24" s="9">
        <v>5.6232550585000007</v>
      </c>
      <c r="AS24" s="67" t="s">
        <v>66</v>
      </c>
      <c r="AT24" s="9">
        <v>4.6986040468000008</v>
      </c>
      <c r="AU24" s="64" t="s">
        <v>291</v>
      </c>
      <c r="AV24" s="9">
        <v>3.5</v>
      </c>
      <c r="AW24" s="15" t="s">
        <v>112</v>
      </c>
      <c r="AX24" s="9">
        <v>139.69765175500001</v>
      </c>
      <c r="AY24" s="64" t="s">
        <v>112</v>
      </c>
      <c r="AZ24" s="9">
        <v>1.7462206469375001</v>
      </c>
      <c r="BA24" s="64" t="s">
        <v>291</v>
      </c>
      <c r="BB24" s="64" t="s">
        <v>112</v>
      </c>
      <c r="BC24" s="9">
        <v>8.549365071646708</v>
      </c>
      <c r="BD24" s="76" t="s">
        <v>66</v>
      </c>
      <c r="BE24" s="64" t="s">
        <v>112</v>
      </c>
      <c r="BF24" s="9">
        <v>7.9912637470000005</v>
      </c>
      <c r="BG24" s="64" t="s">
        <v>291</v>
      </c>
      <c r="BH24" s="15" t="s">
        <v>1493</v>
      </c>
      <c r="BI24" s="9">
        <v>7.5324048549252343</v>
      </c>
      <c r="BJ24" s="67" t="s">
        <v>66</v>
      </c>
      <c r="BK24" s="64" t="s">
        <v>1493</v>
      </c>
      <c r="BL24" s="9">
        <v>7.4014300810000009</v>
      </c>
      <c r="BM24" s="15" t="s">
        <v>291</v>
      </c>
      <c r="BN24" s="76" t="s">
        <v>91</v>
      </c>
      <c r="BO24" s="9">
        <v>7.3518090037680421</v>
      </c>
    </row>
    <row r="25" spans="1:67" x14ac:dyDescent="0.45">
      <c r="A25" s="10">
        <v>21</v>
      </c>
      <c r="B25" s="10" t="s">
        <v>1444</v>
      </c>
      <c r="C25" s="64" t="s">
        <v>2110</v>
      </c>
      <c r="D25" s="65"/>
      <c r="E25" s="56" t="s">
        <v>2208</v>
      </c>
      <c r="F25" s="289" t="s">
        <v>2118</v>
      </c>
      <c r="G25" s="80" t="s">
        <v>2191</v>
      </c>
      <c r="H25" s="10"/>
      <c r="I25" s="62">
        <v>100.36810127000001</v>
      </c>
      <c r="J25" s="62">
        <v>59.272500750000006</v>
      </c>
      <c r="K25" s="62">
        <v>106.69050135000001</v>
      </c>
      <c r="L25" s="49">
        <v>798.15127505031921</v>
      </c>
      <c r="M25" s="49">
        <v>738.55551150360543</v>
      </c>
      <c r="N25" s="49">
        <v>694.09911196075154</v>
      </c>
      <c r="O25" s="61">
        <v>5.9699584543243436</v>
      </c>
      <c r="P25" s="60"/>
      <c r="Q25" s="16" t="s">
        <v>1515</v>
      </c>
      <c r="R25" s="9">
        <v>7.0220860762000008</v>
      </c>
      <c r="S25" s="15" t="s">
        <v>291</v>
      </c>
      <c r="T25" s="9">
        <v>7.2720860761999999</v>
      </c>
      <c r="U25" s="15" t="s">
        <v>291</v>
      </c>
      <c r="V25" s="9">
        <v>12.5</v>
      </c>
      <c r="W25" s="287" t="s">
        <v>229</v>
      </c>
      <c r="X25" s="9">
        <v>49.176688609600006</v>
      </c>
      <c r="Y25" s="287" t="s">
        <v>229</v>
      </c>
      <c r="Z25" s="9">
        <v>24.588344304800003</v>
      </c>
      <c r="AA25" s="15" t="s">
        <v>291</v>
      </c>
      <c r="AB25" s="16" t="s">
        <v>229</v>
      </c>
      <c r="AC25" s="9">
        <v>13.044172152400002</v>
      </c>
      <c r="AD25" s="287" t="s">
        <v>1515</v>
      </c>
      <c r="AE25" s="287" t="s">
        <v>229</v>
      </c>
      <c r="AF25" s="9">
        <v>12.041016998657144</v>
      </c>
      <c r="AG25" s="15" t="s">
        <v>291</v>
      </c>
      <c r="AH25" s="16" t="s">
        <v>146</v>
      </c>
      <c r="AI25" s="9">
        <v>11.380821341020136</v>
      </c>
      <c r="AJ25" s="16" t="s">
        <v>1515</v>
      </c>
      <c r="AK25" s="287" t="s">
        <v>146</v>
      </c>
      <c r="AL25" s="9">
        <v>10.746651487195269</v>
      </c>
      <c r="AM25" s="15" t="s">
        <v>291</v>
      </c>
      <c r="AN25" s="16" t="s">
        <v>203</v>
      </c>
      <c r="AO25" s="9">
        <v>10.561915057032895</v>
      </c>
      <c r="AP25" s="60"/>
      <c r="AQ25" s="16" t="s">
        <v>1515</v>
      </c>
      <c r="AR25" s="9">
        <v>5.6972271394360003</v>
      </c>
      <c r="AS25" s="16" t="s">
        <v>1515</v>
      </c>
      <c r="AT25" s="9">
        <v>2.8486135697180002</v>
      </c>
      <c r="AU25" s="64" t="s">
        <v>291</v>
      </c>
      <c r="AV25" s="9">
        <v>3.5</v>
      </c>
      <c r="AW25" s="16" t="s">
        <v>229</v>
      </c>
      <c r="AX25" s="9">
        <v>63.629695192480007</v>
      </c>
      <c r="AY25" s="287" t="s">
        <v>229</v>
      </c>
      <c r="AZ25" s="9">
        <v>1.4139932264995556</v>
      </c>
      <c r="BA25" s="64" t="s">
        <v>291</v>
      </c>
      <c r="BB25" s="287" t="s">
        <v>229</v>
      </c>
      <c r="BC25" s="9">
        <v>6.8716895265588667</v>
      </c>
      <c r="BD25" s="64" t="s">
        <v>291</v>
      </c>
      <c r="BE25" s="287" t="s">
        <v>146</v>
      </c>
      <c r="BF25" s="9">
        <v>6.1193119280657484</v>
      </c>
      <c r="BG25" s="287" t="s">
        <v>1515</v>
      </c>
      <c r="BH25" s="16" t="s">
        <v>229</v>
      </c>
      <c r="BI25" s="9">
        <v>6.0476178656528425</v>
      </c>
      <c r="BJ25" s="16" t="s">
        <v>1515</v>
      </c>
      <c r="BK25" s="287" t="s">
        <v>146</v>
      </c>
      <c r="BL25" s="9">
        <v>5.5029463829322358</v>
      </c>
      <c r="BM25" s="15" t="s">
        <v>291</v>
      </c>
      <c r="BN25" s="287" t="s">
        <v>203</v>
      </c>
      <c r="BO25" s="9">
        <v>5.4592930499243311</v>
      </c>
    </row>
    <row r="26" spans="1:67" x14ac:dyDescent="0.45">
      <c r="A26" s="10">
        <v>22</v>
      </c>
      <c r="B26" s="10" t="s">
        <v>1442</v>
      </c>
      <c r="C26" s="64" t="s">
        <v>2110</v>
      </c>
      <c r="D26" s="65"/>
      <c r="E26" s="56" t="s">
        <v>2208</v>
      </c>
      <c r="F26" s="289" t="s">
        <v>2118</v>
      </c>
      <c r="G26" s="80" t="s">
        <v>2191</v>
      </c>
      <c r="H26" s="10"/>
      <c r="I26" s="62">
        <v>155.68910197000002</v>
      </c>
      <c r="J26" s="62">
        <v>116.96440148000001</v>
      </c>
      <c r="K26" s="62">
        <v>140.67340178000001</v>
      </c>
      <c r="L26" s="49">
        <v>1997.0597553689543</v>
      </c>
      <c r="M26" s="49">
        <v>1872.1871961220254</v>
      </c>
      <c r="N26" s="49">
        <v>1777.9348364925841</v>
      </c>
      <c r="O26" s="61">
        <v>14.730800929332826</v>
      </c>
      <c r="P26" s="60"/>
      <c r="Q26" s="16" t="s">
        <v>1515</v>
      </c>
      <c r="R26" s="9">
        <v>10.341346118200001</v>
      </c>
      <c r="S26" s="53" t="s">
        <v>185</v>
      </c>
      <c r="T26" s="9">
        <v>11.9536257604375</v>
      </c>
      <c r="U26" s="16" t="s">
        <v>1515</v>
      </c>
      <c r="V26" s="9">
        <v>10</v>
      </c>
      <c r="W26" s="287" t="s">
        <v>229</v>
      </c>
      <c r="X26" s="9">
        <v>75.730768945600005</v>
      </c>
      <c r="Y26" s="287" t="s">
        <v>229</v>
      </c>
      <c r="Z26" s="9">
        <v>37.865384472800002</v>
      </c>
      <c r="AA26" s="16" t="s">
        <v>1515</v>
      </c>
      <c r="AB26" s="16" t="s">
        <v>229</v>
      </c>
      <c r="AC26" s="9">
        <v>18.205357076657144</v>
      </c>
      <c r="AD26" s="59" t="s">
        <v>185</v>
      </c>
      <c r="AE26" s="287" t="s">
        <v>229</v>
      </c>
      <c r="AF26" s="9">
        <v>17.933262386367307</v>
      </c>
      <c r="AG26" s="53" t="s">
        <v>185</v>
      </c>
      <c r="AH26" s="16" t="s">
        <v>203</v>
      </c>
      <c r="AI26" s="9">
        <v>15.414637390720781</v>
      </c>
      <c r="AJ26" s="16" t="s">
        <v>1515</v>
      </c>
      <c r="AK26" s="287" t="s">
        <v>203</v>
      </c>
      <c r="AL26" s="9">
        <v>15.148004193738373</v>
      </c>
      <c r="AM26" s="53" t="s">
        <v>185</v>
      </c>
      <c r="AN26" s="71" t="s">
        <v>1487</v>
      </c>
      <c r="AO26" s="9">
        <v>15.102092872279931</v>
      </c>
      <c r="AP26" s="60"/>
      <c r="AQ26" s="16" t="s">
        <v>1515</v>
      </c>
      <c r="AR26" s="9">
        <v>8.2862499721960017</v>
      </c>
      <c r="AS26" s="16" t="s">
        <v>1515</v>
      </c>
      <c r="AT26" s="9">
        <v>4.1431249860980008</v>
      </c>
      <c r="AU26" s="287" t="s">
        <v>2451</v>
      </c>
      <c r="AV26" s="9">
        <v>2.5</v>
      </c>
      <c r="AW26" s="16" t="s">
        <v>229</v>
      </c>
      <c r="AX26" s="9">
        <v>98.149999629280018</v>
      </c>
      <c r="AY26" s="287" t="s">
        <v>229</v>
      </c>
      <c r="AZ26" s="9">
        <v>2.1811111028728893</v>
      </c>
      <c r="BA26" s="287" t="s">
        <v>1515</v>
      </c>
      <c r="BB26" s="287" t="s">
        <v>229</v>
      </c>
      <c r="BC26" s="9">
        <v>9.0908552304760004</v>
      </c>
      <c r="BD26" s="59" t="s">
        <v>185</v>
      </c>
      <c r="BE26" s="287" t="s">
        <v>229</v>
      </c>
      <c r="BF26" s="9">
        <v>8.9949835203155288</v>
      </c>
      <c r="BG26" s="287" t="s">
        <v>1515</v>
      </c>
      <c r="BH26" s="71" t="s">
        <v>1487</v>
      </c>
      <c r="BI26" s="9">
        <v>7.5263949008067836</v>
      </c>
      <c r="BJ26" s="16" t="s">
        <v>1515</v>
      </c>
      <c r="BK26" s="287" t="s">
        <v>203</v>
      </c>
      <c r="BL26" s="9">
        <v>7.4929933944681073</v>
      </c>
      <c r="BM26" s="53" t="s">
        <v>185</v>
      </c>
      <c r="BN26" s="80" t="s">
        <v>1487</v>
      </c>
      <c r="BO26" s="9">
        <v>7.4295968939297836</v>
      </c>
    </row>
    <row r="27" spans="1:67" x14ac:dyDescent="0.45">
      <c r="A27" s="10">
        <v>23</v>
      </c>
      <c r="B27" s="10" t="s">
        <v>1440</v>
      </c>
      <c r="C27" s="63" t="s">
        <v>1971</v>
      </c>
      <c r="D27" s="65"/>
      <c r="E27" s="80" t="s">
        <v>2175</v>
      </c>
      <c r="F27" s="58" t="s">
        <v>2210</v>
      </c>
      <c r="G27" s="242"/>
      <c r="H27" s="10"/>
      <c r="I27" s="62">
        <v>98.787501250000005</v>
      </c>
      <c r="J27" s="62">
        <v>88.513601120000004</v>
      </c>
      <c r="K27" s="62">
        <v>99.577801260000001</v>
      </c>
      <c r="L27" s="49">
        <v>927.44522969478862</v>
      </c>
      <c r="M27" s="49">
        <v>911.83521806486931</v>
      </c>
      <c r="N27" s="49">
        <v>899.53659141297362</v>
      </c>
      <c r="O27" s="61">
        <v>8.0972711522073126</v>
      </c>
      <c r="P27" s="60"/>
      <c r="Q27" s="54" t="s">
        <v>104</v>
      </c>
      <c r="R27" s="9">
        <v>6.3345250675000004</v>
      </c>
      <c r="S27" s="54" t="s">
        <v>104</v>
      </c>
      <c r="T27" s="9">
        <v>7.9181563343750003</v>
      </c>
      <c r="U27" s="54" t="s">
        <v>92</v>
      </c>
      <c r="V27" s="9">
        <v>11.667</v>
      </c>
      <c r="W27" s="63" t="s">
        <v>251</v>
      </c>
      <c r="X27" s="9">
        <v>78.054250975000002</v>
      </c>
      <c r="Y27" s="63" t="s">
        <v>251</v>
      </c>
      <c r="Z27" s="9">
        <v>25.178790637096775</v>
      </c>
      <c r="AA27" s="54" t="s">
        <v>104</v>
      </c>
      <c r="AB27" s="54" t="s">
        <v>124</v>
      </c>
      <c r="AC27" s="9">
        <v>12.055997571489726</v>
      </c>
      <c r="AD27" s="63" t="s">
        <v>104</v>
      </c>
      <c r="AE27" s="63" t="s">
        <v>251</v>
      </c>
      <c r="AF27" s="9">
        <v>11.881709396481483</v>
      </c>
      <c r="AG27" s="54" t="s">
        <v>92</v>
      </c>
      <c r="AH27" s="54" t="s">
        <v>124</v>
      </c>
      <c r="AI27" s="9">
        <v>11.650916617678959</v>
      </c>
      <c r="AJ27" s="54" t="s">
        <v>92</v>
      </c>
      <c r="AK27" s="63" t="s">
        <v>251</v>
      </c>
      <c r="AL27" s="9">
        <v>11.364349300619834</v>
      </c>
      <c r="AM27" s="54" t="s">
        <v>104</v>
      </c>
      <c r="AN27" s="54" t="s">
        <v>154</v>
      </c>
      <c r="AO27" s="9">
        <v>9.5640853729304638</v>
      </c>
      <c r="AP27" s="60"/>
      <c r="AQ27" s="54" t="s">
        <v>104</v>
      </c>
      <c r="AR27" s="9">
        <v>5.6232550585000007</v>
      </c>
      <c r="AS27" s="54" t="s">
        <v>104</v>
      </c>
      <c r="AT27" s="9">
        <v>2.8116275292500004</v>
      </c>
      <c r="AU27" s="63" t="s">
        <v>92</v>
      </c>
      <c r="AV27" s="9">
        <v>3</v>
      </c>
      <c r="AW27" s="54" t="s">
        <v>251</v>
      </c>
      <c r="AX27" s="9">
        <v>101.17052626750001</v>
      </c>
      <c r="AY27" s="63" t="s">
        <v>251</v>
      </c>
      <c r="AZ27" s="9">
        <v>1.3489403502333335</v>
      </c>
      <c r="BA27" s="63" t="s">
        <v>104</v>
      </c>
      <c r="BB27" s="63" t="s">
        <v>251</v>
      </c>
      <c r="BC27" s="9">
        <v>5.9844952304838719</v>
      </c>
      <c r="BD27" s="63" t="s">
        <v>104</v>
      </c>
      <c r="BE27" s="63" t="s">
        <v>124</v>
      </c>
      <c r="BF27" s="9">
        <v>5.6607595888095243</v>
      </c>
      <c r="BG27" s="63" t="s">
        <v>92</v>
      </c>
      <c r="BH27" s="54" t="s">
        <v>251</v>
      </c>
      <c r="BI27" s="9">
        <v>5.4833027070432694</v>
      </c>
      <c r="BJ27" s="54" t="s">
        <v>92</v>
      </c>
      <c r="BK27" s="63" t="s">
        <v>124</v>
      </c>
      <c r="BL27" s="9">
        <v>5.1079413315330191</v>
      </c>
      <c r="BM27" s="54" t="s">
        <v>104</v>
      </c>
      <c r="BN27" s="63" t="s">
        <v>154</v>
      </c>
      <c r="BO27" s="9">
        <v>4.7456323866333339</v>
      </c>
    </row>
    <row r="28" spans="1:67" x14ac:dyDescent="0.45">
      <c r="A28" s="10">
        <v>24</v>
      </c>
      <c r="B28" s="10" t="s">
        <v>193</v>
      </c>
      <c r="C28" s="63" t="s">
        <v>1971</v>
      </c>
      <c r="D28" s="65"/>
      <c r="E28" s="80" t="s">
        <v>2175</v>
      </c>
      <c r="F28" s="58" t="s">
        <v>2210</v>
      </c>
      <c r="G28" s="242"/>
      <c r="H28" s="10"/>
      <c r="I28" s="62">
        <v>143.83460182000002</v>
      </c>
      <c r="J28" s="62">
        <v>132.77040168000002</v>
      </c>
      <c r="K28" s="62">
        <v>134.35100170000001</v>
      </c>
      <c r="L28" s="49">
        <v>1921.0314034303228</v>
      </c>
      <c r="M28" s="49">
        <v>1874.1472165882756</v>
      </c>
      <c r="N28" s="49">
        <v>1837.4650725383133</v>
      </c>
      <c r="O28" s="61">
        <v>15.7470891147617</v>
      </c>
      <c r="P28" s="60"/>
      <c r="Q28" s="66" t="s">
        <v>88</v>
      </c>
      <c r="R28" s="9">
        <v>11.787595136500002</v>
      </c>
      <c r="S28" s="54" t="s">
        <v>104</v>
      </c>
      <c r="T28" s="9">
        <v>10.95883562285</v>
      </c>
      <c r="U28" s="54" t="s">
        <v>104</v>
      </c>
      <c r="V28" s="9">
        <v>10</v>
      </c>
      <c r="W28" s="63" t="s">
        <v>251</v>
      </c>
      <c r="X28" s="9">
        <v>113.19098941960002</v>
      </c>
      <c r="Y28" s="63" t="s">
        <v>251</v>
      </c>
      <c r="Z28" s="9">
        <v>36.513222393419362</v>
      </c>
      <c r="AA28" s="54" t="s">
        <v>104</v>
      </c>
      <c r="AB28" s="54" t="s">
        <v>251</v>
      </c>
      <c r="AC28" s="9">
        <v>16.82687999238815</v>
      </c>
      <c r="AD28" s="76" t="s">
        <v>66</v>
      </c>
      <c r="AE28" s="63" t="s">
        <v>251</v>
      </c>
      <c r="AF28" s="9">
        <v>15.77352184516667</v>
      </c>
      <c r="AG28" s="66" t="s">
        <v>88</v>
      </c>
      <c r="AH28" s="54" t="s">
        <v>251</v>
      </c>
      <c r="AI28" s="9">
        <v>15.622216629300615</v>
      </c>
      <c r="AJ28" s="54" t="s">
        <v>104</v>
      </c>
      <c r="AK28" s="63" t="s">
        <v>167</v>
      </c>
      <c r="AL28" s="9">
        <v>15.434024094032353</v>
      </c>
      <c r="AM28" s="67" t="s">
        <v>66</v>
      </c>
      <c r="AN28" s="54" t="s">
        <v>167</v>
      </c>
      <c r="AO28" s="9">
        <v>14.573680800394907</v>
      </c>
      <c r="AP28" s="60"/>
      <c r="AQ28" s="66" t="s">
        <v>88</v>
      </c>
      <c r="AR28" s="9">
        <v>9.4143242064700008</v>
      </c>
      <c r="AS28" s="67" t="s">
        <v>66</v>
      </c>
      <c r="AT28" s="9">
        <v>4.7396996473200002</v>
      </c>
      <c r="AU28" s="78" t="s">
        <v>88</v>
      </c>
      <c r="AV28" s="9">
        <v>3.3333333333333002</v>
      </c>
      <c r="AW28" s="54" t="s">
        <v>251</v>
      </c>
      <c r="AX28" s="9">
        <v>146.84828624548001</v>
      </c>
      <c r="AY28" s="63" t="s">
        <v>251</v>
      </c>
      <c r="AZ28" s="9">
        <v>1.9579771499397334</v>
      </c>
      <c r="BA28" s="78" t="s">
        <v>88</v>
      </c>
      <c r="BB28" s="63" t="s">
        <v>251</v>
      </c>
      <c r="BC28" s="9">
        <v>9.2534347997448947</v>
      </c>
      <c r="BD28" s="78" t="s">
        <v>88</v>
      </c>
      <c r="BE28" s="63" t="s">
        <v>167</v>
      </c>
      <c r="BF28" s="9">
        <v>9.0538144245665872</v>
      </c>
      <c r="BG28" s="63" t="s">
        <v>104</v>
      </c>
      <c r="BH28" s="54" t="s">
        <v>251</v>
      </c>
      <c r="BI28" s="9">
        <v>8.4780702168748387</v>
      </c>
      <c r="BJ28" s="67" t="s">
        <v>66</v>
      </c>
      <c r="BK28" s="63" t="s">
        <v>251</v>
      </c>
      <c r="BL28" s="9">
        <v>8.4308317667527266</v>
      </c>
      <c r="BM28" s="54" t="s">
        <v>104</v>
      </c>
      <c r="BN28" s="63" t="s">
        <v>167</v>
      </c>
      <c r="BO28" s="9">
        <v>8.3303355595869633</v>
      </c>
    </row>
    <row r="29" spans="1:67" x14ac:dyDescent="0.45">
      <c r="A29" s="10">
        <v>25</v>
      </c>
      <c r="B29" s="10" t="s">
        <v>1436</v>
      </c>
      <c r="C29" s="290" t="s">
        <v>1992</v>
      </c>
      <c r="D29" s="65"/>
      <c r="E29" s="80" t="s">
        <v>1892</v>
      </c>
      <c r="F29" s="287" t="s">
        <v>2211</v>
      </c>
      <c r="G29" s="242"/>
      <c r="H29" s="10"/>
      <c r="I29" s="62">
        <v>100.36810127000001</v>
      </c>
      <c r="J29" s="62">
        <v>87.723301110000008</v>
      </c>
      <c r="K29" s="62">
        <v>99.577801260000001</v>
      </c>
      <c r="L29" s="49">
        <v>938.06829484678815</v>
      </c>
      <c r="M29" s="49">
        <v>916.04217963642293</v>
      </c>
      <c r="N29" s="49">
        <v>898.79424379197576</v>
      </c>
      <c r="O29" s="61">
        <v>8.0308047413239425</v>
      </c>
      <c r="P29" s="60"/>
      <c r="Q29" s="15" t="s">
        <v>291</v>
      </c>
      <c r="R29" s="9">
        <v>5.0147240508000008</v>
      </c>
      <c r="S29" s="51" t="s">
        <v>115</v>
      </c>
      <c r="T29" s="9">
        <v>6.6850717301666673</v>
      </c>
      <c r="U29" s="15" t="s">
        <v>1057</v>
      </c>
      <c r="V29" s="9">
        <v>15.385</v>
      </c>
      <c r="W29" s="290" t="s">
        <v>222</v>
      </c>
      <c r="X29" s="9">
        <v>61.220860762000001</v>
      </c>
      <c r="Y29" s="290" t="s">
        <v>222</v>
      </c>
      <c r="Z29" s="9">
        <v>25.508691984166667</v>
      </c>
      <c r="AA29" s="51" t="s">
        <v>115</v>
      </c>
      <c r="AB29" s="51" t="s">
        <v>94</v>
      </c>
      <c r="AC29" s="9">
        <v>12.64059742896457</v>
      </c>
      <c r="AD29" s="64" t="s">
        <v>291</v>
      </c>
      <c r="AE29" s="290" t="s">
        <v>94</v>
      </c>
      <c r="AF29" s="9">
        <v>12.162484081787879</v>
      </c>
      <c r="AG29" s="51" t="s">
        <v>115</v>
      </c>
      <c r="AH29" s="51" t="s">
        <v>182</v>
      </c>
      <c r="AI29" s="9">
        <v>11.879313215636003</v>
      </c>
      <c r="AJ29" s="15" t="s">
        <v>291</v>
      </c>
      <c r="AK29" s="290" t="s">
        <v>182</v>
      </c>
      <c r="AL29" s="9">
        <v>11.423124440553847</v>
      </c>
      <c r="AM29" s="51" t="s">
        <v>115</v>
      </c>
      <c r="AN29" s="51" t="s">
        <v>302</v>
      </c>
      <c r="AO29" s="9">
        <v>11.371247764143336</v>
      </c>
      <c r="AP29" s="60"/>
      <c r="AQ29" s="15" t="s">
        <v>291</v>
      </c>
      <c r="AR29" s="9">
        <v>4.2619632912750003</v>
      </c>
      <c r="AS29" s="15" t="s">
        <v>291</v>
      </c>
      <c r="AT29" s="9">
        <v>2.1309816456375001</v>
      </c>
      <c r="AU29" s="290" t="s">
        <v>115</v>
      </c>
      <c r="AV29" s="9">
        <v>4.5</v>
      </c>
      <c r="AW29" s="51" t="s">
        <v>222</v>
      </c>
      <c r="AX29" s="9">
        <v>79.287118990600007</v>
      </c>
      <c r="AY29" s="290" t="s">
        <v>94</v>
      </c>
      <c r="AZ29" s="9">
        <v>1.4291681418308002</v>
      </c>
      <c r="BA29" s="290" t="s">
        <v>115</v>
      </c>
      <c r="BB29" s="290" t="s">
        <v>94</v>
      </c>
      <c r="BC29" s="9">
        <v>7.4362967184381663</v>
      </c>
      <c r="BD29" s="290" t="s">
        <v>115</v>
      </c>
      <c r="BE29" s="290" t="s">
        <v>222</v>
      </c>
      <c r="BF29" s="9">
        <v>7.0891541480502323</v>
      </c>
      <c r="BG29" s="290" t="s">
        <v>115</v>
      </c>
      <c r="BH29" s="51" t="s">
        <v>182</v>
      </c>
      <c r="BI29" s="9">
        <v>6.9520958836836151</v>
      </c>
      <c r="BJ29" s="15" t="s">
        <v>291</v>
      </c>
      <c r="BK29" s="290" t="s">
        <v>94</v>
      </c>
      <c r="BL29" s="9">
        <v>6.6664206935002808</v>
      </c>
      <c r="BM29" s="15" t="s">
        <v>291</v>
      </c>
      <c r="BN29" s="290" t="s">
        <v>222</v>
      </c>
      <c r="BO29" s="9">
        <v>6.3836821292181112</v>
      </c>
    </row>
    <row r="30" spans="1:67" x14ac:dyDescent="0.45">
      <c r="A30" s="10">
        <v>26</v>
      </c>
      <c r="B30" s="10" t="s">
        <v>7</v>
      </c>
      <c r="C30" s="290" t="s">
        <v>1992</v>
      </c>
      <c r="D30" s="65"/>
      <c r="E30" s="80" t="s">
        <v>1892</v>
      </c>
      <c r="F30" s="287" t="s">
        <v>2211</v>
      </c>
      <c r="G30" s="242"/>
      <c r="H30" s="10"/>
      <c r="I30" s="62">
        <v>164.38240208000002</v>
      </c>
      <c r="J30" s="62">
        <v>131.18980166</v>
      </c>
      <c r="K30" s="62">
        <v>134.35100170000001</v>
      </c>
      <c r="L30" s="49">
        <v>2182.3570934032441</v>
      </c>
      <c r="M30" s="49">
        <v>2032.3454886254701</v>
      </c>
      <c r="N30" s="49">
        <v>1919.7952658691145</v>
      </c>
      <c r="O30" s="61">
        <v>15.581365072404523</v>
      </c>
      <c r="P30" s="60"/>
      <c r="Q30" s="51" t="s">
        <v>1484</v>
      </c>
      <c r="R30" s="9">
        <v>20.725888249600001</v>
      </c>
      <c r="S30" s="14" t="s">
        <v>161</v>
      </c>
      <c r="T30" s="9">
        <v>11.625493472000002</v>
      </c>
      <c r="U30" s="51" t="s">
        <v>115</v>
      </c>
      <c r="V30" s="9">
        <v>13.333</v>
      </c>
      <c r="W30" s="64" t="s">
        <v>142</v>
      </c>
      <c r="X30" s="9">
        <v>107.84856135200002</v>
      </c>
      <c r="Y30" s="290" t="s">
        <v>222</v>
      </c>
      <c r="Z30" s="9">
        <v>41.512267186666669</v>
      </c>
      <c r="AA30" s="51" t="s">
        <v>115</v>
      </c>
      <c r="AB30" s="51" t="s">
        <v>94</v>
      </c>
      <c r="AC30" s="9">
        <v>19.974519293417327</v>
      </c>
      <c r="AD30" s="290" t="s">
        <v>6</v>
      </c>
      <c r="AE30" s="290" t="s">
        <v>94</v>
      </c>
      <c r="AF30" s="9">
        <v>19.756623250904109</v>
      </c>
      <c r="AG30" s="51" t="s">
        <v>1484</v>
      </c>
      <c r="AH30" s="51" t="s">
        <v>94</v>
      </c>
      <c r="AI30" s="9">
        <v>18.224760225333338</v>
      </c>
      <c r="AJ30" s="14" t="s">
        <v>161</v>
      </c>
      <c r="AK30" s="290" t="s">
        <v>94</v>
      </c>
      <c r="AL30" s="9">
        <v>17.94733087601545</v>
      </c>
      <c r="AM30" s="51" t="s">
        <v>115</v>
      </c>
      <c r="AN30" s="51" t="s">
        <v>222</v>
      </c>
      <c r="AO30" s="9">
        <v>17.327311574431373</v>
      </c>
      <c r="AP30" s="60"/>
      <c r="AQ30" s="14" t="s">
        <v>161</v>
      </c>
      <c r="AR30" s="9">
        <v>18.095769816320004</v>
      </c>
      <c r="AS30" s="14" t="s">
        <v>161</v>
      </c>
      <c r="AT30" s="9">
        <v>6.0319232721066678</v>
      </c>
      <c r="AU30" s="290" t="s">
        <v>115</v>
      </c>
      <c r="AV30" s="9">
        <v>4.5</v>
      </c>
      <c r="AW30" s="15" t="s">
        <v>142</v>
      </c>
      <c r="AX30" s="9">
        <v>139.90312975760003</v>
      </c>
      <c r="AY30" s="290" t="s">
        <v>94</v>
      </c>
      <c r="AZ30" s="9">
        <v>2.3279289252032003</v>
      </c>
      <c r="BA30" s="290" t="s">
        <v>115</v>
      </c>
      <c r="BB30" s="290" t="s">
        <v>94</v>
      </c>
      <c r="BC30" s="9">
        <v>11.833902997936148</v>
      </c>
      <c r="BD30" s="290" t="s">
        <v>6</v>
      </c>
      <c r="BE30" s="290" t="s">
        <v>94</v>
      </c>
      <c r="BF30" s="9">
        <v>11.459334419685929</v>
      </c>
      <c r="BG30" s="290" t="s">
        <v>115</v>
      </c>
      <c r="BH30" s="51" t="s">
        <v>222</v>
      </c>
      <c r="BI30" s="9">
        <v>11.269436861410236</v>
      </c>
      <c r="BJ30" s="51" t="s">
        <v>6</v>
      </c>
      <c r="BK30" s="290" t="s">
        <v>222</v>
      </c>
      <c r="BL30" s="9">
        <v>10.948984731820003</v>
      </c>
      <c r="BM30" s="14" t="s">
        <v>161</v>
      </c>
      <c r="BN30" s="290" t="s">
        <v>94</v>
      </c>
      <c r="BO30" s="9">
        <v>10.276712617801028</v>
      </c>
    </row>
    <row r="31" spans="1:67" x14ac:dyDescent="0.45">
      <c r="A31" s="10">
        <v>26</v>
      </c>
      <c r="B31" s="10" t="s">
        <v>1433</v>
      </c>
      <c r="C31" s="290" t="s">
        <v>2112</v>
      </c>
      <c r="D31" s="65"/>
      <c r="E31" s="80" t="s">
        <v>2212</v>
      </c>
      <c r="F31" s="58" t="s">
        <v>2213</v>
      </c>
      <c r="G31" s="242"/>
      <c r="H31" s="10"/>
      <c r="I31" s="62">
        <v>170.70480216000001</v>
      </c>
      <c r="J31" s="62">
        <v>133.56070169</v>
      </c>
      <c r="K31" s="62">
        <v>134.35100170000001</v>
      </c>
      <c r="L31" s="49">
        <v>2286.6807671872275</v>
      </c>
      <c r="M31" s="49">
        <v>2109.1633991289659</v>
      </c>
      <c r="N31" s="49">
        <v>1977.1243102584478</v>
      </c>
      <c r="O31" s="61">
        <v>15.829777825796238</v>
      </c>
      <c r="P31" s="60"/>
      <c r="Q31" s="51" t="s">
        <v>1484</v>
      </c>
      <c r="R31" s="9">
        <v>21.484576259200001</v>
      </c>
      <c r="S31" s="51" t="s">
        <v>6</v>
      </c>
      <c r="T31" s="9">
        <v>10.207675539657144</v>
      </c>
      <c r="U31" s="51" t="s">
        <v>115</v>
      </c>
      <c r="V31" s="9">
        <v>13.333</v>
      </c>
      <c r="W31" s="242" t="s">
        <v>2376</v>
      </c>
      <c r="X31" s="9">
        <v>93.180593166400001</v>
      </c>
      <c r="Y31" s="290" t="s">
        <v>94</v>
      </c>
      <c r="Z31" s="9">
        <v>35.838689679384615</v>
      </c>
      <c r="AA31" s="51" t="s">
        <v>115</v>
      </c>
      <c r="AB31" s="51" t="s">
        <v>94</v>
      </c>
      <c r="AC31" s="9">
        <v>20.698857255338584</v>
      </c>
      <c r="AD31" s="290" t="s">
        <v>6</v>
      </c>
      <c r="AE31" s="290" t="s">
        <v>94</v>
      </c>
      <c r="AF31" s="9">
        <v>20.477636684684931</v>
      </c>
      <c r="AG31" s="51" t="s">
        <v>115</v>
      </c>
      <c r="AH31" s="57" t="s">
        <v>82</v>
      </c>
      <c r="AI31" s="9">
        <v>20.066831079603055</v>
      </c>
      <c r="AJ31" s="51" t="s">
        <v>6</v>
      </c>
      <c r="AK31" s="242" t="s">
        <v>82</v>
      </c>
      <c r="AL31" s="9">
        <v>19.865348544611297</v>
      </c>
      <c r="AM31" s="51" t="s">
        <v>1484</v>
      </c>
      <c r="AN31" s="51" t="s">
        <v>94</v>
      </c>
      <c r="AO31" s="9">
        <v>18.909686900666667</v>
      </c>
      <c r="AP31" s="60"/>
      <c r="AQ31" s="51" t="s">
        <v>1484</v>
      </c>
      <c r="AR31" s="9">
        <v>16.977969482176</v>
      </c>
      <c r="AS31" s="51" t="s">
        <v>1484</v>
      </c>
      <c r="AT31" s="9">
        <v>3.3955938964352002</v>
      </c>
      <c r="AU31" s="290" t="s">
        <v>115</v>
      </c>
      <c r="AV31" s="9">
        <v>4.5</v>
      </c>
      <c r="AW31" s="57" t="s">
        <v>2453</v>
      </c>
      <c r="AX31" s="9">
        <v>120.83477111632001</v>
      </c>
      <c r="AY31" s="290" t="s">
        <v>94</v>
      </c>
      <c r="AZ31" s="9">
        <v>2.4166954223264003</v>
      </c>
      <c r="BA31" s="290" t="s">
        <v>115</v>
      </c>
      <c r="BB31" s="290" t="s">
        <v>94</v>
      </c>
      <c r="BC31" s="9">
        <v>12.26823448233101</v>
      </c>
      <c r="BD31" s="290" t="s">
        <v>6</v>
      </c>
      <c r="BE31" s="290" t="s">
        <v>94</v>
      </c>
      <c r="BF31" s="9">
        <v>11.879422780557038</v>
      </c>
      <c r="BG31" s="290" t="s">
        <v>115</v>
      </c>
      <c r="BH31" s="57" t="s">
        <v>82</v>
      </c>
      <c r="BI31" s="9">
        <v>11.447143028796638</v>
      </c>
      <c r="BJ31" s="51" t="s">
        <v>6</v>
      </c>
      <c r="BK31" s="242" t="s">
        <v>82</v>
      </c>
      <c r="BL31" s="9">
        <v>11.14074245285695</v>
      </c>
      <c r="BM31" s="51" t="s">
        <v>115</v>
      </c>
      <c r="BN31" s="79" t="s">
        <v>23</v>
      </c>
      <c r="BO31" s="9">
        <v>10.619132127519267</v>
      </c>
    </row>
    <row r="32" spans="1:67" x14ac:dyDescent="0.45">
      <c r="A32" s="10">
        <v>27</v>
      </c>
      <c r="B32" s="10" t="s">
        <v>1426</v>
      </c>
      <c r="C32" s="80" t="s">
        <v>1892</v>
      </c>
      <c r="D32" s="65"/>
      <c r="E32" s="288" t="s">
        <v>2214</v>
      </c>
      <c r="F32" s="63" t="s">
        <v>2215</v>
      </c>
      <c r="G32" s="290" t="s">
        <v>1992</v>
      </c>
      <c r="H32" s="10"/>
      <c r="I32" s="62">
        <v>111.43230141000001</v>
      </c>
      <c r="J32" s="62">
        <v>106.69050135000001</v>
      </c>
      <c r="K32" s="62">
        <v>120.12560152</v>
      </c>
      <c r="L32" s="49">
        <v>1261.5131029024528</v>
      </c>
      <c r="M32" s="49">
        <v>1268.1821057562302</v>
      </c>
      <c r="N32" s="49">
        <v>1273.5426832520154</v>
      </c>
      <c r="O32" s="61">
        <v>11.580709001753577</v>
      </c>
      <c r="P32" s="60"/>
      <c r="Q32" s="15" t="s">
        <v>3424</v>
      </c>
      <c r="R32" s="9">
        <v>4.3429690423</v>
      </c>
      <c r="S32" s="15" t="s">
        <v>1489</v>
      </c>
      <c r="T32" s="9">
        <v>8.6859380846000001</v>
      </c>
      <c r="U32" s="71" t="s">
        <v>144</v>
      </c>
      <c r="V32" s="9">
        <v>11.667</v>
      </c>
      <c r="W32" s="80" t="s">
        <v>1490</v>
      </c>
      <c r="X32" s="9">
        <v>67.859380846000008</v>
      </c>
      <c r="Y32" s="64" t="s">
        <v>52</v>
      </c>
      <c r="Z32" s="9">
        <v>29.286646781071436</v>
      </c>
      <c r="AA32" s="15" t="s">
        <v>1489</v>
      </c>
      <c r="AB32" s="15" t="s">
        <v>52</v>
      </c>
      <c r="AC32" s="9">
        <v>11.649053719023971</v>
      </c>
      <c r="AD32" s="80" t="s">
        <v>144</v>
      </c>
      <c r="AE32" s="64" t="s">
        <v>52</v>
      </c>
      <c r="AF32" s="9">
        <v>11.577116625324633</v>
      </c>
      <c r="AG32" s="15" t="s">
        <v>1489</v>
      </c>
      <c r="AH32" s="52" t="s">
        <v>40</v>
      </c>
      <c r="AI32" s="9">
        <v>11.157545652821231</v>
      </c>
      <c r="AJ32" s="15" t="s">
        <v>1489</v>
      </c>
      <c r="AK32" s="80" t="s">
        <v>1490</v>
      </c>
      <c r="AL32" s="9">
        <v>11.154930947465754</v>
      </c>
      <c r="AM32" s="71" t="s">
        <v>144</v>
      </c>
      <c r="AN32" s="71" t="s">
        <v>1490</v>
      </c>
      <c r="AO32" s="9">
        <v>11.004199014896662</v>
      </c>
      <c r="AP32" s="60"/>
      <c r="AQ32" s="15" t="s">
        <v>1489</v>
      </c>
      <c r="AR32" s="9">
        <v>3.8972398366600003</v>
      </c>
      <c r="AS32" s="15" t="s">
        <v>1489</v>
      </c>
      <c r="AT32" s="9">
        <v>3.8972398366600003</v>
      </c>
      <c r="AU32" s="80" t="s">
        <v>144</v>
      </c>
      <c r="AV32" s="9">
        <v>4.5</v>
      </c>
      <c r="AW32" s="15" t="s">
        <v>52</v>
      </c>
      <c r="AX32" s="9">
        <v>95.160294691450005</v>
      </c>
      <c r="AY32" s="64" t="s">
        <v>52</v>
      </c>
      <c r="AZ32" s="9">
        <v>1.3594327813064286</v>
      </c>
      <c r="BA32" s="80" t="s">
        <v>144</v>
      </c>
      <c r="BB32" s="64" t="s">
        <v>52</v>
      </c>
      <c r="BC32" s="9">
        <v>7.4427433686753695</v>
      </c>
      <c r="BD32" s="80" t="s">
        <v>144</v>
      </c>
      <c r="BE32" s="56" t="s">
        <v>40</v>
      </c>
      <c r="BF32" s="9">
        <v>6.998397818015456</v>
      </c>
      <c r="BG32" s="64" t="s">
        <v>1489</v>
      </c>
      <c r="BH32" s="15" t="s">
        <v>52</v>
      </c>
      <c r="BI32" s="9">
        <v>6.4323246937375007</v>
      </c>
      <c r="BJ32" s="71" t="s">
        <v>144</v>
      </c>
      <c r="BK32" s="80" t="s">
        <v>1490</v>
      </c>
      <c r="BL32" s="9">
        <v>6.3896806161995272</v>
      </c>
      <c r="BM32" s="15" t="s">
        <v>1489</v>
      </c>
      <c r="BN32" s="56" t="s">
        <v>40</v>
      </c>
      <c r="BO32" s="9">
        <v>6.2396890663000013</v>
      </c>
    </row>
    <row r="33" spans="1:67" x14ac:dyDescent="0.45">
      <c r="A33" s="10">
        <v>27</v>
      </c>
      <c r="B33" s="10" t="s">
        <v>1428</v>
      </c>
      <c r="C33" s="59" t="s">
        <v>2113</v>
      </c>
      <c r="D33" s="58" t="s">
        <v>2160</v>
      </c>
      <c r="E33" s="80" t="s">
        <v>1892</v>
      </c>
      <c r="F33" s="64" t="s">
        <v>2216</v>
      </c>
      <c r="G33" s="63" t="s">
        <v>2217</v>
      </c>
      <c r="H33" s="10"/>
      <c r="I33" s="62">
        <v>110.64200140000001</v>
      </c>
      <c r="J33" s="62">
        <v>113.80320144000001</v>
      </c>
      <c r="K33" s="62">
        <v>120.12560152</v>
      </c>
      <c r="L33" s="49">
        <v>1293.6448102107047</v>
      </c>
      <c r="M33" s="49">
        <v>1317.6701832990693</v>
      </c>
      <c r="N33" s="49">
        <v>1337.2113470004665</v>
      </c>
      <c r="O33" s="61">
        <v>12.273872089977255</v>
      </c>
      <c r="P33" s="60"/>
      <c r="Q33" s="53" t="s">
        <v>56</v>
      </c>
      <c r="R33" s="9">
        <v>6.3108160672000002</v>
      </c>
      <c r="S33" s="53" t="s">
        <v>56</v>
      </c>
      <c r="T33" s="9">
        <v>9.0154515245714286</v>
      </c>
      <c r="U33" s="74" t="s">
        <v>59</v>
      </c>
      <c r="V33" s="9">
        <v>15</v>
      </c>
      <c r="W33" s="291" t="s">
        <v>132</v>
      </c>
      <c r="X33" s="9">
        <v>87.300761092000002</v>
      </c>
      <c r="Y33" s="291" t="s">
        <v>132</v>
      </c>
      <c r="Z33" s="9">
        <v>28.161535836129033</v>
      </c>
      <c r="AA33" s="53" t="s">
        <v>56</v>
      </c>
      <c r="AB33" s="74" t="s">
        <v>132</v>
      </c>
      <c r="AC33" s="9">
        <v>13.379632507352943</v>
      </c>
      <c r="AD33" s="291" t="s">
        <v>59</v>
      </c>
      <c r="AE33" s="291" t="s">
        <v>132</v>
      </c>
      <c r="AF33" s="9">
        <v>12.097281727207921</v>
      </c>
      <c r="AG33" s="53" t="s">
        <v>56</v>
      </c>
      <c r="AH33" s="53" t="s">
        <v>194</v>
      </c>
      <c r="AI33" s="9">
        <v>11.950050396970743</v>
      </c>
      <c r="AJ33" s="74" t="s">
        <v>59</v>
      </c>
      <c r="AK33" s="59" t="s">
        <v>194</v>
      </c>
      <c r="AL33" s="9">
        <v>10.661085553768846</v>
      </c>
      <c r="AM33" s="53" t="s">
        <v>56</v>
      </c>
      <c r="AN33" s="67" t="s">
        <v>1491</v>
      </c>
      <c r="AO33" s="9">
        <v>10.610603391308089</v>
      </c>
      <c r="AP33" s="60"/>
      <c r="AQ33" s="53" t="s">
        <v>56</v>
      </c>
      <c r="AR33" s="9">
        <v>5.3150380546000005</v>
      </c>
      <c r="AS33" s="53" t="s">
        <v>56</v>
      </c>
      <c r="AT33" s="9">
        <v>2.6575190273000002</v>
      </c>
      <c r="AU33" s="291" t="s">
        <v>59</v>
      </c>
      <c r="AV33" s="9">
        <v>4</v>
      </c>
      <c r="AW33" s="74" t="s">
        <v>132</v>
      </c>
      <c r="AX33" s="9">
        <v>113.19098941960002</v>
      </c>
      <c r="AY33" s="291" t="s">
        <v>132</v>
      </c>
      <c r="AZ33" s="9">
        <v>1.5092131922613334</v>
      </c>
      <c r="BA33" s="291" t="s">
        <v>59</v>
      </c>
      <c r="BB33" s="291" t="s">
        <v>132</v>
      </c>
      <c r="BC33" s="9">
        <v>7.8444949280556981</v>
      </c>
      <c r="BD33" s="59" t="s">
        <v>56</v>
      </c>
      <c r="BE33" s="291" t="s">
        <v>132</v>
      </c>
      <c r="BF33" s="9">
        <v>6.9088063500807699</v>
      </c>
      <c r="BG33" s="291" t="s">
        <v>59</v>
      </c>
      <c r="BH33" s="53" t="s">
        <v>194</v>
      </c>
      <c r="BI33" s="9">
        <v>6.4644273250750013</v>
      </c>
      <c r="BJ33" s="53" t="s">
        <v>56</v>
      </c>
      <c r="BK33" s="59" t="s">
        <v>194</v>
      </c>
      <c r="BL33" s="9">
        <v>5.8662375914095248</v>
      </c>
      <c r="BM33" s="74" t="s">
        <v>59</v>
      </c>
      <c r="BN33" s="76" t="s">
        <v>1491</v>
      </c>
      <c r="BO33" s="9">
        <v>5.7883367842153852</v>
      </c>
    </row>
    <row r="34" spans="1:67" x14ac:dyDescent="0.45">
      <c r="A34" s="10">
        <v>28</v>
      </c>
      <c r="B34" s="10" t="s">
        <v>212</v>
      </c>
      <c r="C34" s="80" t="s">
        <v>1892</v>
      </c>
      <c r="D34" s="65"/>
      <c r="E34" s="288" t="s">
        <v>2214</v>
      </c>
      <c r="F34" s="63" t="s">
        <v>2215</v>
      </c>
      <c r="G34" s="290" t="s">
        <v>1992</v>
      </c>
      <c r="H34" s="10"/>
      <c r="I34" s="62">
        <v>155.68910197000002</v>
      </c>
      <c r="J34" s="62">
        <v>150.15700190000001</v>
      </c>
      <c r="K34" s="62">
        <v>154.89880196000001</v>
      </c>
      <c r="L34" s="49">
        <v>2374.406306962821</v>
      </c>
      <c r="M34" s="49">
        <v>2358.1308893564806</v>
      </c>
      <c r="N34" s="49">
        <v>2345.1909153889724</v>
      </c>
      <c r="O34" s="61">
        <v>20.22257801482106</v>
      </c>
      <c r="P34" s="60"/>
      <c r="Q34" s="53" t="s">
        <v>56</v>
      </c>
      <c r="R34" s="9">
        <v>7.2275640788000013</v>
      </c>
      <c r="S34" s="53" t="s">
        <v>56</v>
      </c>
      <c r="T34" s="9">
        <v>10.325091541142859</v>
      </c>
      <c r="U34" s="71" t="s">
        <v>144</v>
      </c>
      <c r="V34" s="9">
        <v>11.667</v>
      </c>
      <c r="W34" s="80" t="s">
        <v>79</v>
      </c>
      <c r="X34" s="9">
        <v>131.77884565480002</v>
      </c>
      <c r="Y34" s="64" t="s">
        <v>52</v>
      </c>
      <c r="Z34" s="9">
        <v>40.350846921071437</v>
      </c>
      <c r="AA34" s="71" t="s">
        <v>144</v>
      </c>
      <c r="AB34" s="71" t="s">
        <v>79</v>
      </c>
      <c r="AC34" s="9">
        <v>17.209439804865081</v>
      </c>
      <c r="AD34" s="59" t="s">
        <v>56</v>
      </c>
      <c r="AE34" s="80" t="s">
        <v>79</v>
      </c>
      <c r="AF34" s="9">
        <v>17.034915378496457</v>
      </c>
      <c r="AG34" s="53" t="s">
        <v>56</v>
      </c>
      <c r="AH34" s="15" t="s">
        <v>52</v>
      </c>
      <c r="AI34" s="9">
        <v>15.536173053361868</v>
      </c>
      <c r="AJ34" s="71" t="s">
        <v>144</v>
      </c>
      <c r="AK34" s="64" t="s">
        <v>52</v>
      </c>
      <c r="AL34" s="9">
        <v>15.531790570947123</v>
      </c>
      <c r="AM34" s="53" t="s">
        <v>56</v>
      </c>
      <c r="AN34" s="71" t="s">
        <v>1504</v>
      </c>
      <c r="AO34" s="9">
        <v>14.983085488389918</v>
      </c>
      <c r="AP34" s="60"/>
      <c r="AQ34" s="53" t="s">
        <v>56</v>
      </c>
      <c r="AR34" s="9">
        <v>6.0598958140250012</v>
      </c>
      <c r="AS34" s="53" t="s">
        <v>56</v>
      </c>
      <c r="AT34" s="9">
        <v>3.0299479070125006</v>
      </c>
      <c r="AU34" s="80" t="s">
        <v>144</v>
      </c>
      <c r="AV34" s="9">
        <v>4.5</v>
      </c>
      <c r="AW34" s="71" t="s">
        <v>79</v>
      </c>
      <c r="AX34" s="9">
        <v>146.72499944392004</v>
      </c>
      <c r="AY34" s="80" t="s">
        <v>79</v>
      </c>
      <c r="AZ34" s="9">
        <v>2.2573076837526158</v>
      </c>
      <c r="BA34" s="80" t="s">
        <v>144</v>
      </c>
      <c r="BB34" s="80" t="s">
        <v>79</v>
      </c>
      <c r="BC34" s="9">
        <v>11.671425317206118</v>
      </c>
      <c r="BD34" s="80" t="s">
        <v>144</v>
      </c>
      <c r="BE34" s="64" t="s">
        <v>52</v>
      </c>
      <c r="BF34" s="9">
        <v>10.188150130930939</v>
      </c>
      <c r="BG34" s="59" t="s">
        <v>56</v>
      </c>
      <c r="BH34" s="71" t="s">
        <v>79</v>
      </c>
      <c r="BI34" s="9">
        <v>9.3694354748172444</v>
      </c>
      <c r="BJ34" s="71" t="s">
        <v>144</v>
      </c>
      <c r="BK34" s="80" t="s">
        <v>1504</v>
      </c>
      <c r="BL34" s="9">
        <v>9.0072674095302343</v>
      </c>
      <c r="BM34" s="53" t="s">
        <v>56</v>
      </c>
      <c r="BN34" s="64" t="s">
        <v>52</v>
      </c>
      <c r="BO34" s="9">
        <v>8.3529894107510305</v>
      </c>
    </row>
    <row r="35" spans="1:67" x14ac:dyDescent="0.45">
      <c r="A35" s="10">
        <v>28</v>
      </c>
      <c r="B35" s="10" t="s">
        <v>195</v>
      </c>
      <c r="C35" s="59" t="s">
        <v>2113</v>
      </c>
      <c r="D35" s="58" t="s">
        <v>2160</v>
      </c>
      <c r="E35" s="80" t="s">
        <v>1892</v>
      </c>
      <c r="F35" s="64" t="s">
        <v>2216</v>
      </c>
      <c r="G35" s="63" t="s">
        <v>2217</v>
      </c>
      <c r="H35" s="10"/>
      <c r="I35" s="62">
        <v>151.73760192</v>
      </c>
      <c r="J35" s="62">
        <v>165.96300210000001</v>
      </c>
      <c r="K35" s="62">
        <v>154.89880196000001</v>
      </c>
      <c r="L35" s="49">
        <v>2432.8923153424867</v>
      </c>
      <c r="M35" s="49">
        <v>2478.0022976814862</v>
      </c>
      <c r="N35" s="49">
        <v>2514.691762900442</v>
      </c>
      <c r="O35" s="61">
        <v>22.048272671322842</v>
      </c>
      <c r="P35" s="60"/>
      <c r="Q35" s="53" t="s">
        <v>56</v>
      </c>
      <c r="R35" s="9">
        <v>8.2834048921600001</v>
      </c>
      <c r="S35" s="53" t="s">
        <v>56</v>
      </c>
      <c r="T35" s="9">
        <v>11.833435560228573</v>
      </c>
      <c r="U35" s="74" t="s">
        <v>59</v>
      </c>
      <c r="V35" s="9">
        <v>15</v>
      </c>
      <c r="W35" s="291" t="s">
        <v>132</v>
      </c>
      <c r="X35" s="9">
        <v>119.3553294976</v>
      </c>
      <c r="Y35" s="291" t="s">
        <v>132</v>
      </c>
      <c r="Z35" s="9">
        <v>38.501719192774189</v>
      </c>
      <c r="AA35" s="53" t="s">
        <v>56</v>
      </c>
      <c r="AB35" s="74" t="s">
        <v>132</v>
      </c>
      <c r="AC35" s="9">
        <v>17.912235505882354</v>
      </c>
      <c r="AD35" s="59" t="s">
        <v>56</v>
      </c>
      <c r="AE35" s="291" t="s">
        <v>114</v>
      </c>
      <c r="AF35" s="9">
        <v>16.426636772629664</v>
      </c>
      <c r="AG35" s="74" t="s">
        <v>59</v>
      </c>
      <c r="AH35" s="74" t="s">
        <v>132</v>
      </c>
      <c r="AI35" s="9">
        <v>16.296356948657426</v>
      </c>
      <c r="AJ35" s="53" t="s">
        <v>56</v>
      </c>
      <c r="AK35" s="59" t="s">
        <v>194</v>
      </c>
      <c r="AL35" s="9">
        <v>16.024244183462997</v>
      </c>
      <c r="AM35" s="74" t="s">
        <v>59</v>
      </c>
      <c r="AN35" s="74" t="s">
        <v>114</v>
      </c>
      <c r="AO35" s="9">
        <v>14.769342279417792</v>
      </c>
      <c r="AP35" s="60"/>
      <c r="AQ35" s="53" t="s">
        <v>56</v>
      </c>
      <c r="AR35" s="9">
        <v>6.9177664748800005</v>
      </c>
      <c r="AS35" s="53" t="s">
        <v>56</v>
      </c>
      <c r="AT35" s="9">
        <v>3.4588832374400003</v>
      </c>
      <c r="AU35" s="291" t="s">
        <v>59</v>
      </c>
      <c r="AV35" s="9">
        <v>4</v>
      </c>
      <c r="AW35" s="74" t="s">
        <v>132</v>
      </c>
      <c r="AX35" s="9">
        <v>154.86192834688001</v>
      </c>
      <c r="AY35" s="291" t="s">
        <v>132</v>
      </c>
      <c r="AZ35" s="9">
        <v>2.0648257112917334</v>
      </c>
      <c r="BA35" s="291" t="s">
        <v>59</v>
      </c>
      <c r="BB35" s="291" t="s">
        <v>132</v>
      </c>
      <c r="BC35" s="9">
        <v>10.563046932074936</v>
      </c>
      <c r="BD35" s="59" t="s">
        <v>56</v>
      </c>
      <c r="BE35" s="291" t="s">
        <v>132</v>
      </c>
      <c r="BF35" s="9">
        <v>9.2820772801107694</v>
      </c>
      <c r="BG35" s="291" t="s">
        <v>59</v>
      </c>
      <c r="BH35" s="53" t="s">
        <v>194</v>
      </c>
      <c r="BI35" s="9">
        <v>8.6681789029600012</v>
      </c>
      <c r="BJ35" s="74" t="s">
        <v>59</v>
      </c>
      <c r="BK35" s="291" t="s">
        <v>114</v>
      </c>
      <c r="BL35" s="9">
        <v>8.6151361021090924</v>
      </c>
      <c r="BM35" s="53" t="s">
        <v>56</v>
      </c>
      <c r="BN35" s="59" t="s">
        <v>194</v>
      </c>
      <c r="BO35" s="9">
        <v>7.8505680165180953</v>
      </c>
    </row>
    <row r="36" spans="1:67" x14ac:dyDescent="0.45">
      <c r="A36" s="10">
        <v>29</v>
      </c>
      <c r="B36" s="10" t="s">
        <v>1422</v>
      </c>
      <c r="C36" s="63" t="s">
        <v>1971</v>
      </c>
      <c r="D36" s="65"/>
      <c r="E36" s="80" t="s">
        <v>2175</v>
      </c>
      <c r="F36" s="58" t="s">
        <v>2210</v>
      </c>
      <c r="G36" s="242"/>
      <c r="H36" s="10"/>
      <c r="I36" s="62">
        <v>79.820301010000009</v>
      </c>
      <c r="J36" s="62">
        <v>82.19120104000001</v>
      </c>
      <c r="K36" s="62">
        <v>127.23830161000001</v>
      </c>
      <c r="L36" s="49">
        <v>816.27210686661056</v>
      </c>
      <c r="M36" s="49">
        <v>886.55231382060686</v>
      </c>
      <c r="N36" s="49">
        <v>947.10885407724459</v>
      </c>
      <c r="O36" s="61">
        <v>9.6636054863184224</v>
      </c>
      <c r="P36" s="60"/>
      <c r="Q36" s="67" t="s">
        <v>2377</v>
      </c>
      <c r="R36" s="9">
        <v>3.3946090303000003</v>
      </c>
      <c r="S36" s="67" t="s">
        <v>66</v>
      </c>
      <c r="T36" s="9">
        <v>6.7892180606000005</v>
      </c>
      <c r="U36" s="54" t="s">
        <v>92</v>
      </c>
      <c r="V36" s="9">
        <v>11.667</v>
      </c>
      <c r="W36" s="63" t="s">
        <v>124</v>
      </c>
      <c r="X36" s="9">
        <v>39.313744484800004</v>
      </c>
      <c r="Y36" s="63" t="s">
        <v>124</v>
      </c>
      <c r="Z36" s="9">
        <v>17.092932384695654</v>
      </c>
      <c r="AA36" s="54" t="s">
        <v>92</v>
      </c>
      <c r="AB36" s="54" t="s">
        <v>124</v>
      </c>
      <c r="AC36" s="9">
        <v>9.6513375902082448</v>
      </c>
      <c r="AD36" s="76" t="s">
        <v>66</v>
      </c>
      <c r="AE36" s="63" t="s">
        <v>124</v>
      </c>
      <c r="AF36" s="9">
        <v>9.5609774694210525</v>
      </c>
      <c r="AG36" s="67" t="s">
        <v>66</v>
      </c>
      <c r="AH36" s="15" t="s">
        <v>1480</v>
      </c>
      <c r="AI36" s="9">
        <v>8.1170577755494513</v>
      </c>
      <c r="AJ36" s="67" t="s">
        <v>66</v>
      </c>
      <c r="AK36" s="63" t="s">
        <v>154</v>
      </c>
      <c r="AL36" s="9">
        <v>7.8495463291931822</v>
      </c>
      <c r="AM36" s="54" t="s">
        <v>92</v>
      </c>
      <c r="AN36" s="15" t="s">
        <v>1480</v>
      </c>
      <c r="AO36" s="9">
        <v>7.8029778111361363</v>
      </c>
      <c r="AP36" s="60"/>
      <c r="AQ36" s="67" t="s">
        <v>66</v>
      </c>
      <c r="AR36" s="9">
        <v>3.0753278262600001</v>
      </c>
      <c r="AS36" s="67" t="s">
        <v>66</v>
      </c>
      <c r="AT36" s="9">
        <v>3.0753278262600001</v>
      </c>
      <c r="AU36" s="63" t="s">
        <v>92</v>
      </c>
      <c r="AV36" s="9">
        <v>3</v>
      </c>
      <c r="AW36" s="54" t="s">
        <v>124</v>
      </c>
      <c r="AX36" s="9">
        <v>50.807867830240006</v>
      </c>
      <c r="AY36" s="63" t="s">
        <v>124</v>
      </c>
      <c r="AZ36" s="9">
        <v>1.0161573566048001</v>
      </c>
      <c r="BA36" s="76" t="s">
        <v>66</v>
      </c>
      <c r="BB36" s="63" t="s">
        <v>124</v>
      </c>
      <c r="BC36" s="9">
        <v>4.9111947494899999</v>
      </c>
      <c r="BD36" s="76" t="s">
        <v>66</v>
      </c>
      <c r="BE36" s="64" t="s">
        <v>1480</v>
      </c>
      <c r="BF36" s="9">
        <v>4.6458461812675678</v>
      </c>
      <c r="BG36" s="76" t="s">
        <v>66</v>
      </c>
      <c r="BH36" s="54" t="s">
        <v>154</v>
      </c>
      <c r="BI36" s="9">
        <v>4.3093065337659455</v>
      </c>
      <c r="BJ36" s="54" t="s">
        <v>92</v>
      </c>
      <c r="BK36" s="63" t="s">
        <v>124</v>
      </c>
      <c r="BL36" s="9">
        <v>4.2286505581428306</v>
      </c>
      <c r="BM36" s="54" t="s">
        <v>92</v>
      </c>
      <c r="BN36" s="64" t="s">
        <v>1480</v>
      </c>
      <c r="BO36" s="9">
        <v>3.8572675117182897</v>
      </c>
    </row>
    <row r="37" spans="1:67" x14ac:dyDescent="0.45">
      <c r="A37" s="10">
        <v>30</v>
      </c>
      <c r="B37" s="10" t="s">
        <v>1420</v>
      </c>
      <c r="C37" s="63" t="s">
        <v>1971</v>
      </c>
      <c r="D37" s="65"/>
      <c r="E37" s="80" t="s">
        <v>2175</v>
      </c>
      <c r="F37" s="58" t="s">
        <v>2210</v>
      </c>
      <c r="G37" s="242"/>
      <c r="H37" s="10"/>
      <c r="I37" s="62">
        <v>104.31960132</v>
      </c>
      <c r="J37" s="62">
        <v>106.69050135000001</v>
      </c>
      <c r="K37" s="62">
        <v>147.78610187000001</v>
      </c>
      <c r="L37" s="49">
        <v>1309.9224749326029</v>
      </c>
      <c r="M37" s="49">
        <v>1393.4247248398792</v>
      </c>
      <c r="N37" s="49">
        <v>1464.0430503114387</v>
      </c>
      <c r="O37" s="61">
        <v>14.247319627157362</v>
      </c>
      <c r="P37" s="60"/>
      <c r="Q37" s="67" t="s">
        <v>2377</v>
      </c>
      <c r="R37" s="9">
        <v>4.1295880395999998</v>
      </c>
      <c r="S37" s="67" t="s">
        <v>66</v>
      </c>
      <c r="T37" s="9">
        <v>8.2591760791999995</v>
      </c>
      <c r="U37" s="54" t="s">
        <v>92</v>
      </c>
      <c r="V37" s="9">
        <v>11.667</v>
      </c>
      <c r="W37" s="80" t="s">
        <v>1490</v>
      </c>
      <c r="X37" s="9">
        <v>53.159800660000002</v>
      </c>
      <c r="Y37" s="63" t="s">
        <v>124</v>
      </c>
      <c r="Z37" s="9">
        <v>22.205829840695657</v>
      </c>
      <c r="AA37" s="54" t="s">
        <v>92</v>
      </c>
      <c r="AB37" s="54" t="s">
        <v>124</v>
      </c>
      <c r="AC37" s="9">
        <v>12.234127167357919</v>
      </c>
      <c r="AD37" s="76" t="s">
        <v>66</v>
      </c>
      <c r="AE37" s="63" t="s">
        <v>124</v>
      </c>
      <c r="AF37" s="9">
        <v>12.010907500421052</v>
      </c>
      <c r="AG37" s="67" t="s">
        <v>66</v>
      </c>
      <c r="AH37" s="54" t="s">
        <v>154</v>
      </c>
      <c r="AI37" s="9">
        <v>9.7705141944090901</v>
      </c>
      <c r="AJ37" s="67" t="s">
        <v>66</v>
      </c>
      <c r="AK37" s="80" t="s">
        <v>1490</v>
      </c>
      <c r="AL37" s="9">
        <v>9.5689179136986304</v>
      </c>
      <c r="AM37" s="54" t="s">
        <v>92</v>
      </c>
      <c r="AN37" s="54" t="s">
        <v>154</v>
      </c>
      <c r="AO37" s="9">
        <v>9.3417789527816097</v>
      </c>
      <c r="AP37" s="60"/>
      <c r="AQ37" s="67" t="s">
        <v>66</v>
      </c>
      <c r="AR37" s="9">
        <v>3.7123096343200004</v>
      </c>
      <c r="AS37" s="67" t="s">
        <v>66</v>
      </c>
      <c r="AT37" s="9">
        <v>3.7123096343200004</v>
      </c>
      <c r="AU37" s="63" t="s">
        <v>92</v>
      </c>
      <c r="AV37" s="9">
        <v>3</v>
      </c>
      <c r="AW37" s="71" t="s">
        <v>1490</v>
      </c>
      <c r="AX37" s="9">
        <v>68.807740858000003</v>
      </c>
      <c r="AY37" s="63" t="s">
        <v>124</v>
      </c>
      <c r="AZ37" s="9">
        <v>1.3219086244736002</v>
      </c>
      <c r="BA37" s="76" t="s">
        <v>66</v>
      </c>
      <c r="BB37" s="63" t="s">
        <v>124</v>
      </c>
      <c r="BC37" s="9">
        <v>6.1116604646800008</v>
      </c>
      <c r="BD37" s="63" t="s">
        <v>92</v>
      </c>
      <c r="BE37" s="63" t="s">
        <v>124</v>
      </c>
      <c r="BF37" s="9">
        <v>5.364401140438491</v>
      </c>
      <c r="BG37" s="76" t="s">
        <v>66</v>
      </c>
      <c r="BH37" s="54" t="s">
        <v>154</v>
      </c>
      <c r="BI37" s="9">
        <v>5.3250342817535143</v>
      </c>
      <c r="BJ37" s="67" t="s">
        <v>66</v>
      </c>
      <c r="BK37" s="80" t="s">
        <v>1490</v>
      </c>
      <c r="BL37" s="9">
        <v>5.3000030787999997</v>
      </c>
      <c r="BM37" s="54" t="s">
        <v>92</v>
      </c>
      <c r="BN37" s="63" t="s">
        <v>154</v>
      </c>
      <c r="BO37" s="9">
        <v>4.2332111467384212</v>
      </c>
    </row>
    <row r="38" spans="1:67" x14ac:dyDescent="0.45">
      <c r="A38" s="10">
        <v>31</v>
      </c>
      <c r="B38" s="10" t="s">
        <v>269</v>
      </c>
      <c r="C38" s="63" t="s">
        <v>2114</v>
      </c>
      <c r="D38" s="65"/>
      <c r="E38" s="80" t="s">
        <v>2218</v>
      </c>
      <c r="F38" s="58" t="s">
        <v>2219</v>
      </c>
      <c r="G38" s="63" t="s">
        <v>2220</v>
      </c>
      <c r="H38" s="10"/>
      <c r="I38" s="62">
        <v>154.10850195</v>
      </c>
      <c r="J38" s="62">
        <v>148.57640188000002</v>
      </c>
      <c r="K38" s="62">
        <v>175.44660222000002</v>
      </c>
      <c r="L38" s="49">
        <v>2488.1353305439306</v>
      </c>
      <c r="M38" s="49">
        <v>2527.052502068937</v>
      </c>
      <c r="N38" s="49">
        <v>2558.6240537028762</v>
      </c>
      <c r="O38" s="61">
        <v>22.695246774400172</v>
      </c>
      <c r="P38" s="60"/>
      <c r="Q38" s="54" t="s">
        <v>171</v>
      </c>
      <c r="R38" s="9">
        <v>10.246510117</v>
      </c>
      <c r="S38" s="54" t="s">
        <v>171</v>
      </c>
      <c r="T38" s="9">
        <v>12.80813764625</v>
      </c>
      <c r="U38" s="54" t="s">
        <v>171</v>
      </c>
      <c r="V38" s="9">
        <v>8.75</v>
      </c>
      <c r="W38" s="80" t="s">
        <v>79</v>
      </c>
      <c r="X38" s="9">
        <v>130.451141638</v>
      </c>
      <c r="Y38" s="80" t="s">
        <v>79</v>
      </c>
      <c r="Z38" s="9">
        <v>36.236428232777776</v>
      </c>
      <c r="AA38" s="54" t="s">
        <v>171</v>
      </c>
      <c r="AB38" s="71" t="s">
        <v>79</v>
      </c>
      <c r="AC38" s="9">
        <v>18.214666243141025</v>
      </c>
      <c r="AD38" s="63" t="s">
        <v>171</v>
      </c>
      <c r="AE38" s="80" t="s">
        <v>153</v>
      </c>
      <c r="AF38" s="9">
        <v>17.892349908588955</v>
      </c>
      <c r="AG38" s="54" t="s">
        <v>171</v>
      </c>
      <c r="AH38" s="54" t="s">
        <v>167</v>
      </c>
      <c r="AI38" s="9">
        <v>16.869030463289473</v>
      </c>
      <c r="AJ38" s="67" t="s">
        <v>66</v>
      </c>
      <c r="AK38" s="80" t="s">
        <v>79</v>
      </c>
      <c r="AL38" s="9">
        <v>16.834317894440993</v>
      </c>
      <c r="AM38" s="67" t="s">
        <v>66</v>
      </c>
      <c r="AN38" s="71" t="s">
        <v>153</v>
      </c>
      <c r="AO38" s="9">
        <v>16.624953238705583</v>
      </c>
      <c r="AP38" s="60"/>
      <c r="AQ38" s="54" t="s">
        <v>171</v>
      </c>
      <c r="AR38" s="9">
        <v>8.2122778912600012</v>
      </c>
      <c r="AS38" s="67" t="s">
        <v>66</v>
      </c>
      <c r="AT38" s="9">
        <v>5.0068210507000002</v>
      </c>
      <c r="AU38" s="63" t="s">
        <v>171</v>
      </c>
      <c r="AV38" s="9">
        <v>3.5</v>
      </c>
      <c r="AW38" s="71" t="s">
        <v>79</v>
      </c>
      <c r="AX38" s="9">
        <v>145.2455578252</v>
      </c>
      <c r="AY38" s="80" t="s">
        <v>79</v>
      </c>
      <c r="AZ38" s="9">
        <v>2.2345470434646155</v>
      </c>
      <c r="BA38" s="63" t="s">
        <v>171</v>
      </c>
      <c r="BB38" s="80" t="s">
        <v>79</v>
      </c>
      <c r="BC38" s="9">
        <v>11.317642100060585</v>
      </c>
      <c r="BD38" s="63" t="s">
        <v>171</v>
      </c>
      <c r="BE38" s="63" t="s">
        <v>167</v>
      </c>
      <c r="BF38" s="9">
        <v>10.703457851413139</v>
      </c>
      <c r="BG38" s="63" t="s">
        <v>171</v>
      </c>
      <c r="BH38" s="71" t="s">
        <v>153</v>
      </c>
      <c r="BI38" s="9">
        <v>10.39285865471453</v>
      </c>
      <c r="BJ38" s="54" t="s">
        <v>171</v>
      </c>
      <c r="BK38" s="56" t="s">
        <v>87</v>
      </c>
      <c r="BL38" s="9">
        <v>9.9134099819811965</v>
      </c>
      <c r="BM38" s="67" t="s">
        <v>66</v>
      </c>
      <c r="BN38" s="80" t="s">
        <v>79</v>
      </c>
      <c r="BO38" s="9">
        <v>9.1930519991925372</v>
      </c>
    </row>
    <row r="39" spans="1:67" x14ac:dyDescent="0.45">
      <c r="A39" s="10">
        <v>32</v>
      </c>
      <c r="B39" s="10" t="s">
        <v>1416</v>
      </c>
      <c r="C39" s="63" t="s">
        <v>1971</v>
      </c>
      <c r="D39" s="65"/>
      <c r="E39" s="80" t="s">
        <v>2175</v>
      </c>
      <c r="F39" s="58" t="s">
        <v>2210</v>
      </c>
      <c r="G39" s="242"/>
      <c r="H39" s="10"/>
      <c r="I39" s="62">
        <v>94.836001200000013</v>
      </c>
      <c r="J39" s="62">
        <v>71.917300910000009</v>
      </c>
      <c r="K39" s="62">
        <v>114.59350145000001</v>
      </c>
      <c r="L39" s="49">
        <v>860.93411672873356</v>
      </c>
      <c r="M39" s="49">
        <v>848.48545506052324</v>
      </c>
      <c r="N39" s="49">
        <v>838.65625206879827</v>
      </c>
      <c r="O39" s="61">
        <v>7.6883312911488524</v>
      </c>
      <c r="P39" s="60"/>
      <c r="Q39" s="16" t="s">
        <v>1515</v>
      </c>
      <c r="R39" s="9">
        <v>5.741800060000001</v>
      </c>
      <c r="S39" s="54" t="s">
        <v>92</v>
      </c>
      <c r="T39" s="9">
        <v>6.4084667266666671</v>
      </c>
      <c r="U39" s="54" t="s">
        <v>92</v>
      </c>
      <c r="V39" s="9">
        <v>11.667</v>
      </c>
      <c r="W39" s="63" t="s">
        <v>124</v>
      </c>
      <c r="X39" s="9">
        <v>46.521280576000002</v>
      </c>
      <c r="Y39" s="63" t="s">
        <v>124</v>
      </c>
      <c r="Z39" s="9">
        <v>20.226643728695656</v>
      </c>
      <c r="AA39" s="54" t="s">
        <v>92</v>
      </c>
      <c r="AB39" s="54" t="s">
        <v>124</v>
      </c>
      <c r="AC39" s="9">
        <v>11.234337653622562</v>
      </c>
      <c r="AD39" s="287" t="s">
        <v>1515</v>
      </c>
      <c r="AE39" s="63" t="s">
        <v>124</v>
      </c>
      <c r="AF39" s="9">
        <v>10.30551792821918</v>
      </c>
      <c r="AG39" s="54" t="s">
        <v>92</v>
      </c>
      <c r="AH39" s="15" t="s">
        <v>1480</v>
      </c>
      <c r="AI39" s="9">
        <v>9.0430131121121118</v>
      </c>
      <c r="AJ39" s="16" t="s">
        <v>1515</v>
      </c>
      <c r="AK39" s="64" t="s">
        <v>1480</v>
      </c>
      <c r="AL39" s="9">
        <v>8.378662515923569</v>
      </c>
      <c r="AM39" s="54" t="s">
        <v>92</v>
      </c>
      <c r="AN39" s="15" t="s">
        <v>1537</v>
      </c>
      <c r="AO39" s="9">
        <v>8.1317067136064747</v>
      </c>
      <c r="AP39" s="60"/>
      <c r="AQ39" s="16" t="s">
        <v>1515</v>
      </c>
      <c r="AR39" s="9">
        <v>4.6986040468000008</v>
      </c>
      <c r="AS39" s="16" t="s">
        <v>1515</v>
      </c>
      <c r="AT39" s="9">
        <v>2.3493020234000004</v>
      </c>
      <c r="AU39" s="63" t="s">
        <v>92</v>
      </c>
      <c r="AV39" s="9">
        <v>3</v>
      </c>
      <c r="AW39" s="54" t="s">
        <v>124</v>
      </c>
      <c r="AX39" s="9">
        <v>60.177664748800012</v>
      </c>
      <c r="AY39" s="63" t="s">
        <v>124</v>
      </c>
      <c r="AZ39" s="9">
        <v>1.2035532949760002</v>
      </c>
      <c r="BA39" s="287" t="s">
        <v>1515</v>
      </c>
      <c r="BB39" s="63" t="s">
        <v>124</v>
      </c>
      <c r="BC39" s="9">
        <v>5.1030335817523822</v>
      </c>
      <c r="BD39" s="63" t="s">
        <v>92</v>
      </c>
      <c r="BE39" s="63" t="s">
        <v>124</v>
      </c>
      <c r="BF39" s="9">
        <v>4.9247557537433968</v>
      </c>
      <c r="BG39" s="287" t="s">
        <v>1515</v>
      </c>
      <c r="BH39" s="15" t="s">
        <v>1480</v>
      </c>
      <c r="BI39" s="9">
        <v>4.7250845863733337</v>
      </c>
      <c r="BJ39" s="54" t="s">
        <v>92</v>
      </c>
      <c r="BK39" s="64" t="s">
        <v>1480</v>
      </c>
      <c r="BL39" s="9">
        <v>4.4814069446157907</v>
      </c>
      <c r="BM39" s="16" t="s">
        <v>1515</v>
      </c>
      <c r="BN39" s="64" t="s">
        <v>1537</v>
      </c>
      <c r="BO39" s="9">
        <v>3.903172575973334</v>
      </c>
    </row>
    <row r="40" spans="1:67" x14ac:dyDescent="0.45">
      <c r="A40" s="10">
        <v>33</v>
      </c>
      <c r="B40" s="10" t="s">
        <v>1413</v>
      </c>
      <c r="C40" s="63" t="s">
        <v>1971</v>
      </c>
      <c r="D40" s="65"/>
      <c r="E40" s="80" t="s">
        <v>2175</v>
      </c>
      <c r="F40" s="58" t="s">
        <v>2210</v>
      </c>
      <c r="G40" s="242"/>
      <c r="H40" s="10"/>
      <c r="I40" s="62">
        <v>120.12560152</v>
      </c>
      <c r="J40" s="62">
        <v>99.577801260000001</v>
      </c>
      <c r="K40" s="62">
        <v>135.14130171000002</v>
      </c>
      <c r="L40" s="49">
        <v>1393.5125700143703</v>
      </c>
      <c r="M40" s="49">
        <v>1377.3917280859555</v>
      </c>
      <c r="N40" s="49">
        <v>1364.6294340446966</v>
      </c>
      <c r="O40" s="61">
        <v>12.238400655484037</v>
      </c>
      <c r="P40" s="60"/>
      <c r="Q40" s="54" t="s">
        <v>171</v>
      </c>
      <c r="R40" s="9">
        <v>8.2075360911999997</v>
      </c>
      <c r="S40" s="54" t="s">
        <v>171</v>
      </c>
      <c r="T40" s="9">
        <v>10.259420113999999</v>
      </c>
      <c r="U40" s="54" t="s">
        <v>92</v>
      </c>
      <c r="V40" s="9">
        <v>11.667</v>
      </c>
      <c r="W40" s="80" t="s">
        <v>1490</v>
      </c>
      <c r="X40" s="9">
        <v>61.062800760000002</v>
      </c>
      <c r="Y40" s="63" t="s">
        <v>124</v>
      </c>
      <c r="Z40" s="9">
        <v>25.504473360695652</v>
      </c>
      <c r="AA40" s="54" t="s">
        <v>171</v>
      </c>
      <c r="AB40" s="54" t="s">
        <v>124</v>
      </c>
      <c r="AC40" s="9">
        <v>14.634560172320855</v>
      </c>
      <c r="AD40" s="63" t="s">
        <v>92</v>
      </c>
      <c r="AE40" s="63" t="s">
        <v>124</v>
      </c>
      <c r="AF40" s="9">
        <v>13.900443023583515</v>
      </c>
      <c r="AG40" s="54" t="s">
        <v>171</v>
      </c>
      <c r="AH40" s="71" t="s">
        <v>1490</v>
      </c>
      <c r="AI40" s="9">
        <v>11.492680519615913</v>
      </c>
      <c r="AJ40" s="54" t="s">
        <v>171</v>
      </c>
      <c r="AK40" s="64" t="s">
        <v>1537</v>
      </c>
      <c r="AL40" s="9">
        <v>11.327565296625998</v>
      </c>
      <c r="AM40" s="54" t="s">
        <v>92</v>
      </c>
      <c r="AN40" s="71" t="s">
        <v>1490</v>
      </c>
      <c r="AO40" s="9">
        <v>10.455135255961844</v>
      </c>
      <c r="AP40" s="60"/>
      <c r="AQ40" s="54" t="s">
        <v>171</v>
      </c>
      <c r="AR40" s="9">
        <v>6.6218781511360003</v>
      </c>
      <c r="AS40" s="54" t="s">
        <v>171</v>
      </c>
      <c r="AT40" s="9">
        <v>3.3109390755680002</v>
      </c>
      <c r="AU40" s="63" t="s">
        <v>171</v>
      </c>
      <c r="AV40" s="9">
        <v>3.5</v>
      </c>
      <c r="AW40" s="71" t="s">
        <v>1490</v>
      </c>
      <c r="AX40" s="9">
        <v>79.081640988000004</v>
      </c>
      <c r="AY40" s="63" t="s">
        <v>124</v>
      </c>
      <c r="AZ40" s="9">
        <v>1.5191675069696</v>
      </c>
      <c r="BA40" s="63" t="s">
        <v>171</v>
      </c>
      <c r="BB40" s="63" t="s">
        <v>124</v>
      </c>
      <c r="BC40" s="9">
        <v>8.063575093422056</v>
      </c>
      <c r="BD40" s="63" t="s">
        <v>171</v>
      </c>
      <c r="BE40" s="80" t="s">
        <v>1490</v>
      </c>
      <c r="BF40" s="9">
        <v>6.4869565209992812</v>
      </c>
      <c r="BG40" s="63" t="s">
        <v>92</v>
      </c>
      <c r="BH40" s="54" t="s">
        <v>124</v>
      </c>
      <c r="BI40" s="9">
        <v>6.0971434515969811</v>
      </c>
      <c r="BJ40" s="54" t="s">
        <v>171</v>
      </c>
      <c r="BK40" s="64" t="s">
        <v>1537</v>
      </c>
      <c r="BL40" s="9">
        <v>5.9401861046254547</v>
      </c>
      <c r="BM40" s="54" t="s">
        <v>92</v>
      </c>
      <c r="BN40" s="80" t="s">
        <v>1490</v>
      </c>
      <c r="BO40" s="9">
        <v>4.6949697106833739</v>
      </c>
    </row>
    <row r="41" spans="1:67" x14ac:dyDescent="0.45">
      <c r="A41" s="10">
        <v>34</v>
      </c>
      <c r="B41" s="10" t="s">
        <v>1411</v>
      </c>
      <c r="C41" s="63" t="s">
        <v>2114</v>
      </c>
      <c r="D41" s="65"/>
      <c r="E41" s="80" t="s">
        <v>2218</v>
      </c>
      <c r="F41" s="58" t="s">
        <v>2219</v>
      </c>
      <c r="G41" s="63" t="s">
        <v>2220</v>
      </c>
      <c r="H41" s="10"/>
      <c r="I41" s="62">
        <v>173.07570219000002</v>
      </c>
      <c r="J41" s="62">
        <v>135.14130171000002</v>
      </c>
      <c r="K41" s="62">
        <v>162.80180206</v>
      </c>
      <c r="L41" s="49">
        <v>2567.2003014852062</v>
      </c>
      <c r="M41" s="49">
        <v>2438.4972600040301</v>
      </c>
      <c r="N41" s="49">
        <v>2340.1962841068344</v>
      </c>
      <c r="O41" s="61">
        <v>19.381946034365093</v>
      </c>
      <c r="P41" s="60"/>
      <c r="Q41" s="53" t="s">
        <v>1</v>
      </c>
      <c r="R41" s="9">
        <v>13.980677664250001</v>
      </c>
      <c r="S41" s="54" t="s">
        <v>171</v>
      </c>
      <c r="T41" s="9">
        <v>14.230677664249999</v>
      </c>
      <c r="U41" s="69" t="s">
        <v>27</v>
      </c>
      <c r="V41" s="9">
        <v>15</v>
      </c>
      <c r="W41" s="80" t="s">
        <v>79</v>
      </c>
      <c r="X41" s="9">
        <v>146.38358983960001</v>
      </c>
      <c r="Y41" s="80" t="s">
        <v>79</v>
      </c>
      <c r="Z41" s="9">
        <v>40.66210828877778</v>
      </c>
      <c r="AA41" s="54" t="s">
        <v>171</v>
      </c>
      <c r="AB41" s="71" t="s">
        <v>79</v>
      </c>
      <c r="AC41" s="9">
        <v>20.330238577602564</v>
      </c>
      <c r="AD41" s="63" t="s">
        <v>171</v>
      </c>
      <c r="AE41" s="80" t="s">
        <v>153</v>
      </c>
      <c r="AF41" s="9">
        <v>19.986887358404907</v>
      </c>
      <c r="AG41" s="69" t="s">
        <v>27</v>
      </c>
      <c r="AH41" s="71" t="s">
        <v>79</v>
      </c>
      <c r="AI41" s="9">
        <v>19.953643644043268</v>
      </c>
      <c r="AJ41" s="69" t="s">
        <v>27</v>
      </c>
      <c r="AK41" s="80" t="s">
        <v>153</v>
      </c>
      <c r="AL41" s="9">
        <v>19.44421405111779</v>
      </c>
      <c r="AM41" s="54" t="s">
        <v>171</v>
      </c>
      <c r="AN41" s="54" t="s">
        <v>167</v>
      </c>
      <c r="AO41" s="9">
        <v>18.81566417213158</v>
      </c>
      <c r="AP41" s="60"/>
      <c r="AQ41" s="53" t="s">
        <v>1</v>
      </c>
      <c r="AR41" s="9">
        <v>11.124928578115002</v>
      </c>
      <c r="AS41" s="54" t="s">
        <v>171</v>
      </c>
      <c r="AT41" s="9">
        <v>4.5499714312460009</v>
      </c>
      <c r="AU41" s="289" t="s">
        <v>27</v>
      </c>
      <c r="AV41" s="9">
        <v>4</v>
      </c>
      <c r="AW41" s="71" t="s">
        <v>79</v>
      </c>
      <c r="AX41" s="9">
        <v>162.99885724984003</v>
      </c>
      <c r="AY41" s="80" t="s">
        <v>79</v>
      </c>
      <c r="AZ41" s="9">
        <v>2.5076747269206159</v>
      </c>
      <c r="BA41" s="63" t="s">
        <v>171</v>
      </c>
      <c r="BB41" s="80" t="s">
        <v>79</v>
      </c>
      <c r="BC41" s="9">
        <v>12.645899903728907</v>
      </c>
      <c r="BD41" s="289" t="s">
        <v>27</v>
      </c>
      <c r="BE41" s="80" t="s">
        <v>79</v>
      </c>
      <c r="BF41" s="9">
        <v>12.510788367390003</v>
      </c>
      <c r="BG41" s="63" t="s">
        <v>171</v>
      </c>
      <c r="BH41" s="54" t="s">
        <v>167</v>
      </c>
      <c r="BI41" s="9">
        <v>11.956123747555621</v>
      </c>
      <c r="BJ41" s="69" t="s">
        <v>27</v>
      </c>
      <c r="BK41" s="63" t="s">
        <v>167</v>
      </c>
      <c r="BL41" s="9">
        <v>11.728185192270001</v>
      </c>
      <c r="BM41" s="54" t="s">
        <v>171</v>
      </c>
      <c r="BN41" s="80" t="s">
        <v>153</v>
      </c>
      <c r="BO41" s="9">
        <v>11.606759470074531</v>
      </c>
    </row>
    <row r="42" spans="1:67" x14ac:dyDescent="0.45">
      <c r="A42" s="10">
        <v>35</v>
      </c>
      <c r="B42" s="10" t="s">
        <v>1409</v>
      </c>
      <c r="C42" s="65" t="s">
        <v>1894</v>
      </c>
      <c r="D42" s="65"/>
      <c r="E42" s="63" t="s">
        <v>2221</v>
      </c>
      <c r="F42" s="58" t="s">
        <v>2222</v>
      </c>
      <c r="G42" s="78" t="s">
        <v>1893</v>
      </c>
      <c r="H42" s="10"/>
      <c r="I42" s="62">
        <v>96.416601220000004</v>
      </c>
      <c r="J42" s="62">
        <v>97.20690123</v>
      </c>
      <c r="K42" s="62">
        <v>147.78610187000001</v>
      </c>
      <c r="L42" s="49">
        <v>1155.6256280543391</v>
      </c>
      <c r="M42" s="49">
        <v>1242.5723173933875</v>
      </c>
      <c r="N42" s="49">
        <v>1316.8165661362148</v>
      </c>
      <c r="O42" s="61">
        <v>13.093090274531912</v>
      </c>
      <c r="P42" s="60"/>
      <c r="Q42" s="57" t="s">
        <v>95</v>
      </c>
      <c r="R42" s="9">
        <v>6.7849960732000003</v>
      </c>
      <c r="S42" s="15" t="s">
        <v>288</v>
      </c>
      <c r="T42" s="9">
        <v>7.2909684045000001</v>
      </c>
      <c r="U42" s="15" t="s">
        <v>288</v>
      </c>
      <c r="V42" s="9">
        <v>10</v>
      </c>
      <c r="W42" s="65" t="s">
        <v>1496</v>
      </c>
      <c r="X42" s="9">
        <v>76.204948951600002</v>
      </c>
      <c r="Y42" s="65" t="s">
        <v>1496</v>
      </c>
      <c r="Z42" s="9">
        <v>19.539730500410258</v>
      </c>
      <c r="AA42" s="15" t="s">
        <v>288</v>
      </c>
      <c r="AB42" s="14" t="s">
        <v>1496</v>
      </c>
      <c r="AC42" s="9">
        <v>10.67892387783688</v>
      </c>
      <c r="AD42" s="242" t="s">
        <v>95</v>
      </c>
      <c r="AE42" s="65" t="s">
        <v>1496</v>
      </c>
      <c r="AF42" s="9">
        <v>9.6681147438657735</v>
      </c>
      <c r="AG42" s="15" t="s">
        <v>288</v>
      </c>
      <c r="AH42" s="15" t="s">
        <v>1480</v>
      </c>
      <c r="AI42" s="9">
        <v>9.4409003159235674</v>
      </c>
      <c r="AJ42" s="15" t="s">
        <v>288</v>
      </c>
      <c r="AK42" s="65" t="s">
        <v>1532</v>
      </c>
      <c r="AL42" s="9">
        <v>9.0965254185345614</v>
      </c>
      <c r="AM42" s="57" t="s">
        <v>95</v>
      </c>
      <c r="AN42" s="15" t="s">
        <v>1480</v>
      </c>
      <c r="AO42" s="9">
        <v>8.5725994998203578</v>
      </c>
      <c r="AP42" s="60"/>
      <c r="AQ42" s="57" t="s">
        <v>95</v>
      </c>
      <c r="AR42" s="9">
        <v>6.0136632634400007</v>
      </c>
      <c r="AS42" s="15" t="s">
        <v>288</v>
      </c>
      <c r="AT42" s="9">
        <v>2.066769769825</v>
      </c>
      <c r="AU42" s="242" t="s">
        <v>2454</v>
      </c>
      <c r="AV42" s="9">
        <v>2</v>
      </c>
      <c r="AW42" s="14" t="s">
        <v>1496</v>
      </c>
      <c r="AX42" s="9">
        <v>98.766433637080013</v>
      </c>
      <c r="AY42" s="65" t="s">
        <v>1496</v>
      </c>
      <c r="AZ42" s="9">
        <v>1.4109490519582859</v>
      </c>
      <c r="BA42" s="64" t="s">
        <v>288</v>
      </c>
      <c r="BB42" s="65" t="s">
        <v>1496</v>
      </c>
      <c r="BC42" s="9">
        <v>4.7528715439154166</v>
      </c>
      <c r="BD42" s="242" t="s">
        <v>95</v>
      </c>
      <c r="BE42" s="65" t="s">
        <v>1496</v>
      </c>
      <c r="BF42" s="9">
        <v>4.6923843993670378</v>
      </c>
      <c r="BG42" s="64" t="s">
        <v>288</v>
      </c>
      <c r="BH42" s="14" t="s">
        <v>1532</v>
      </c>
      <c r="BI42" s="9">
        <v>4.2615227271141496</v>
      </c>
      <c r="BJ42" s="57" t="s">
        <v>95</v>
      </c>
      <c r="BK42" s="65" t="s">
        <v>1532</v>
      </c>
      <c r="BL42" s="9">
        <v>4.2019548400817026</v>
      </c>
      <c r="BM42" s="15" t="s">
        <v>288</v>
      </c>
      <c r="BN42" s="64" t="s">
        <v>1480</v>
      </c>
      <c r="BO42" s="9">
        <v>4.0416727269047303</v>
      </c>
    </row>
    <row r="43" spans="1:67" x14ac:dyDescent="0.45">
      <c r="A43" s="10">
        <v>36</v>
      </c>
      <c r="B43" s="10" t="s">
        <v>1407</v>
      </c>
      <c r="C43" s="65" t="s">
        <v>1894</v>
      </c>
      <c r="D43" s="65"/>
      <c r="E43" s="63" t="s">
        <v>2221</v>
      </c>
      <c r="F43" s="58" t="s">
        <v>2222</v>
      </c>
      <c r="G43" s="78" t="s">
        <v>1893</v>
      </c>
      <c r="H43" s="10"/>
      <c r="I43" s="62">
        <v>152.52790193000001</v>
      </c>
      <c r="J43" s="62">
        <v>139.88310177</v>
      </c>
      <c r="K43" s="62">
        <v>182.55930231000002</v>
      </c>
      <c r="L43" s="49">
        <v>2437.4398489729529</v>
      </c>
      <c r="M43" s="49">
        <v>2475.5916644349304</v>
      </c>
      <c r="N43" s="49">
        <v>2506.5426311784204</v>
      </c>
      <c r="O43" s="61">
        <v>22.403140659280211</v>
      </c>
      <c r="P43" s="60"/>
      <c r="Q43" s="14" t="s">
        <v>161</v>
      </c>
      <c r="R43" s="9">
        <v>19.303348231600001</v>
      </c>
      <c r="S43" s="14" t="s">
        <v>161</v>
      </c>
      <c r="T43" s="9">
        <v>12.868898821066667</v>
      </c>
      <c r="U43" s="51" t="s">
        <v>74</v>
      </c>
      <c r="V43" s="9">
        <v>13.635999999999999</v>
      </c>
      <c r="W43" s="65" t="s">
        <v>1496</v>
      </c>
      <c r="X43" s="9">
        <v>119.97176350540001</v>
      </c>
      <c r="Y43" s="65" t="s">
        <v>1496</v>
      </c>
      <c r="Z43" s="9">
        <v>30.761990642410257</v>
      </c>
      <c r="AA43" s="14" t="s">
        <v>161</v>
      </c>
      <c r="AB43" s="53" t="s">
        <v>1541</v>
      </c>
      <c r="AC43" s="9">
        <v>17.519989113851356</v>
      </c>
      <c r="AD43" s="65" t="s">
        <v>161</v>
      </c>
      <c r="AE43" s="65" t="s">
        <v>63</v>
      </c>
      <c r="AF43" s="9">
        <v>17.470057835400883</v>
      </c>
      <c r="AG43" s="15" t="s">
        <v>288</v>
      </c>
      <c r="AH43" s="53" t="s">
        <v>1541</v>
      </c>
      <c r="AI43" s="9">
        <v>17.116393293146931</v>
      </c>
      <c r="AJ43" s="15" t="s">
        <v>288</v>
      </c>
      <c r="AK43" s="65" t="s">
        <v>63</v>
      </c>
      <c r="AL43" s="9">
        <v>17.098515202460788</v>
      </c>
      <c r="AM43" s="14" t="s">
        <v>161</v>
      </c>
      <c r="AN43" s="14" t="s">
        <v>1496</v>
      </c>
      <c r="AO43" s="9">
        <v>16.561124117534394</v>
      </c>
      <c r="AP43" s="60"/>
      <c r="AQ43" s="14" t="s">
        <v>161</v>
      </c>
      <c r="AR43" s="9">
        <v>20.035482160864003</v>
      </c>
      <c r="AS43" s="14" t="s">
        <v>161</v>
      </c>
      <c r="AT43" s="9">
        <v>6.6784940536213346</v>
      </c>
      <c r="AU43" s="290" t="s">
        <v>74</v>
      </c>
      <c r="AV43" s="9">
        <v>3.6666666666666998</v>
      </c>
      <c r="AW43" s="14" t="s">
        <v>1496</v>
      </c>
      <c r="AX43" s="9">
        <v>155.66329255702001</v>
      </c>
      <c r="AY43" s="65" t="s">
        <v>1496</v>
      </c>
      <c r="AZ43" s="9">
        <v>2.2237613222431429</v>
      </c>
      <c r="BA43" s="65" t="s">
        <v>161</v>
      </c>
      <c r="BB43" s="65" t="s">
        <v>1496</v>
      </c>
      <c r="BC43" s="9">
        <v>10.816960678715741</v>
      </c>
      <c r="BD43" s="65" t="s">
        <v>161</v>
      </c>
      <c r="BE43" s="59" t="s">
        <v>1541</v>
      </c>
      <c r="BF43" s="9">
        <v>10.273287984424361</v>
      </c>
      <c r="BG43" s="65" t="s">
        <v>161</v>
      </c>
      <c r="BH43" s="14" t="s">
        <v>63</v>
      </c>
      <c r="BI43" s="9">
        <v>10.156006437019077</v>
      </c>
      <c r="BJ43" s="51" t="s">
        <v>74</v>
      </c>
      <c r="BK43" s="65" t="s">
        <v>1496</v>
      </c>
      <c r="BL43" s="9">
        <v>9.6348289367328981</v>
      </c>
      <c r="BM43" s="14" t="s">
        <v>161</v>
      </c>
      <c r="BN43" s="242" t="s">
        <v>82</v>
      </c>
      <c r="BO43" s="9">
        <v>9.6100845299521644</v>
      </c>
    </row>
    <row r="44" spans="1:67" x14ac:dyDescent="0.45">
      <c r="A44" s="10">
        <v>37</v>
      </c>
      <c r="B44" s="10" t="s">
        <v>1401</v>
      </c>
      <c r="C44" s="75" t="s">
        <v>1976</v>
      </c>
      <c r="D44" s="65"/>
      <c r="E44" s="80" t="s">
        <v>2198</v>
      </c>
      <c r="F44" s="289" t="s">
        <v>2199</v>
      </c>
      <c r="G44" s="242"/>
      <c r="H44" s="10"/>
      <c r="I44" s="62">
        <v>87.723301110000008</v>
      </c>
      <c r="J44" s="62">
        <v>97.99720124000001</v>
      </c>
      <c r="K44" s="62">
        <v>103.52930131000001</v>
      </c>
      <c r="L44" s="49">
        <v>883.59539551924968</v>
      </c>
      <c r="M44" s="49">
        <v>925.25466041869856</v>
      </c>
      <c r="N44" s="49">
        <v>959.99186103775412</v>
      </c>
      <c r="O44" s="61">
        <v>9.2400798137326472</v>
      </c>
      <c r="P44" s="60"/>
      <c r="Q44" s="70" t="s">
        <v>138</v>
      </c>
      <c r="R44" s="9">
        <v>6.2633980666000006</v>
      </c>
      <c r="S44" s="70" t="s">
        <v>138</v>
      </c>
      <c r="T44" s="9">
        <v>6.2633980666000006</v>
      </c>
      <c r="U44" s="15" t="s">
        <v>291</v>
      </c>
      <c r="V44" s="9">
        <v>12.5</v>
      </c>
      <c r="W44" s="75" t="s">
        <v>2378</v>
      </c>
      <c r="X44" s="9">
        <v>37.843786466200001</v>
      </c>
      <c r="Y44" s="75" t="s">
        <v>76</v>
      </c>
      <c r="Z44" s="9">
        <v>17.201721120999999</v>
      </c>
      <c r="AA44" s="15" t="s">
        <v>291</v>
      </c>
      <c r="AB44" s="70" t="s">
        <v>76</v>
      </c>
      <c r="AC44" s="9">
        <v>9.7400720464838724</v>
      </c>
      <c r="AD44" s="75" t="s">
        <v>138</v>
      </c>
      <c r="AE44" s="75" t="s">
        <v>76</v>
      </c>
      <c r="AF44" s="9">
        <v>9.6056634443333344</v>
      </c>
      <c r="AG44" s="70" t="s">
        <v>138</v>
      </c>
      <c r="AH44" s="15" t="s">
        <v>1480</v>
      </c>
      <c r="AI44" s="9">
        <v>8.3711118788853511</v>
      </c>
      <c r="AJ44" s="15" t="s">
        <v>291</v>
      </c>
      <c r="AK44" s="64" t="s">
        <v>1480</v>
      </c>
      <c r="AL44" s="9">
        <v>8.312539874197082</v>
      </c>
      <c r="AM44" s="70" t="s">
        <v>138</v>
      </c>
      <c r="AN44" s="70" t="s">
        <v>1482</v>
      </c>
      <c r="AO44" s="9">
        <v>8.2320252366635529</v>
      </c>
      <c r="AP44" s="60"/>
      <c r="AQ44" s="70" t="s">
        <v>138</v>
      </c>
      <c r="AR44" s="9">
        <v>5.1054504919480008</v>
      </c>
      <c r="AS44" s="70" t="s">
        <v>138</v>
      </c>
      <c r="AT44" s="9">
        <v>2.5527252459740004</v>
      </c>
      <c r="AU44" s="64" t="s">
        <v>291</v>
      </c>
      <c r="AV44" s="9">
        <v>3.5</v>
      </c>
      <c r="AW44" s="70" t="s">
        <v>76</v>
      </c>
      <c r="AX44" s="9">
        <v>62.581757379220008</v>
      </c>
      <c r="AY44" s="75" t="s">
        <v>76</v>
      </c>
      <c r="AZ44" s="9">
        <v>1.1378501341676366</v>
      </c>
      <c r="BA44" s="75" t="s">
        <v>138</v>
      </c>
      <c r="BB44" s="75" t="s">
        <v>76</v>
      </c>
      <c r="BC44" s="9">
        <v>5.6576751839005182</v>
      </c>
      <c r="BD44" s="64" t="s">
        <v>291</v>
      </c>
      <c r="BE44" s="75" t="s">
        <v>76</v>
      </c>
      <c r="BF44" s="9">
        <v>5.5545102768261971</v>
      </c>
      <c r="BG44" s="75" t="s">
        <v>138</v>
      </c>
      <c r="BH44" s="70" t="s">
        <v>1482</v>
      </c>
      <c r="BI44" s="9">
        <v>5.1759816889977364</v>
      </c>
      <c r="BJ44" s="70" t="s">
        <v>138</v>
      </c>
      <c r="BK44" s="64" t="s">
        <v>1480</v>
      </c>
      <c r="BL44" s="9">
        <v>5.1310959449418432</v>
      </c>
      <c r="BM44" s="15" t="s">
        <v>291</v>
      </c>
      <c r="BN44" s="75" t="s">
        <v>1482</v>
      </c>
      <c r="BO44" s="9">
        <v>4.998400197627757</v>
      </c>
    </row>
    <row r="45" spans="1:67" x14ac:dyDescent="0.45">
      <c r="A45" s="10">
        <v>37</v>
      </c>
      <c r="B45" s="10" t="s">
        <v>1404</v>
      </c>
      <c r="C45" s="291" t="s">
        <v>1919</v>
      </c>
      <c r="D45" s="65"/>
      <c r="E45" s="58" t="s">
        <v>2223</v>
      </c>
      <c r="F45" s="291" t="s">
        <v>1919</v>
      </c>
      <c r="G45" s="242"/>
      <c r="H45" s="10"/>
      <c r="I45" s="62">
        <v>87.723301110000008</v>
      </c>
      <c r="J45" s="62">
        <v>97.99720124000001</v>
      </c>
      <c r="K45" s="62">
        <v>103.52930131000001</v>
      </c>
      <c r="L45" s="49">
        <v>883.59539551924968</v>
      </c>
      <c r="M45" s="49">
        <v>925.25466041869856</v>
      </c>
      <c r="N45" s="49">
        <v>959.99186103775412</v>
      </c>
      <c r="O45" s="61">
        <v>9.2400798137326472</v>
      </c>
      <c r="P45" s="60"/>
      <c r="Q45" s="57" t="s">
        <v>95</v>
      </c>
      <c r="R45" s="9">
        <v>6.2633980666000006</v>
      </c>
      <c r="S45" s="57" t="s">
        <v>95</v>
      </c>
      <c r="T45" s="9">
        <v>5.6939982423636364</v>
      </c>
      <c r="U45" s="74" t="s">
        <v>59</v>
      </c>
      <c r="V45" s="9">
        <v>15</v>
      </c>
      <c r="W45" s="291" t="s">
        <v>132</v>
      </c>
      <c r="X45" s="9">
        <v>69.424174865799998</v>
      </c>
      <c r="Y45" s="291" t="s">
        <v>132</v>
      </c>
      <c r="Z45" s="9">
        <v>22.394895117999997</v>
      </c>
      <c r="AA45" s="74" t="s">
        <v>59</v>
      </c>
      <c r="AB45" s="74" t="s">
        <v>132</v>
      </c>
      <c r="AC45" s="9">
        <v>9.7554897767841577</v>
      </c>
      <c r="AD45" s="291" t="s">
        <v>59</v>
      </c>
      <c r="AE45" s="291" t="s">
        <v>189</v>
      </c>
      <c r="AF45" s="9">
        <v>9.381514381798997</v>
      </c>
      <c r="AG45" s="57" t="s">
        <v>95</v>
      </c>
      <c r="AH45" s="74" t="s">
        <v>132</v>
      </c>
      <c r="AI45" s="9">
        <v>9.3658266334609923</v>
      </c>
      <c r="AJ45" s="57" t="s">
        <v>95</v>
      </c>
      <c r="AK45" s="291" t="s">
        <v>189</v>
      </c>
      <c r="AL45" s="9">
        <v>9.0554060150454543</v>
      </c>
      <c r="AM45" s="57" t="s">
        <v>95</v>
      </c>
      <c r="AN45" s="67" t="s">
        <v>160</v>
      </c>
      <c r="AO45" s="9">
        <v>7.9301542090588235</v>
      </c>
      <c r="AP45" s="60"/>
      <c r="AQ45" s="57" t="s">
        <v>95</v>
      </c>
      <c r="AR45" s="9">
        <v>5.5616116577200003</v>
      </c>
      <c r="AS45" s="74" t="s">
        <v>59</v>
      </c>
      <c r="AT45" s="9">
        <v>1.8684834973160003</v>
      </c>
      <c r="AU45" s="291" t="s">
        <v>59</v>
      </c>
      <c r="AV45" s="9">
        <v>4</v>
      </c>
      <c r="AW45" s="74" t="s">
        <v>132</v>
      </c>
      <c r="AX45" s="9">
        <v>89.95142732554001</v>
      </c>
      <c r="AY45" s="291" t="s">
        <v>132</v>
      </c>
      <c r="AZ45" s="9">
        <v>1.1993523643405335</v>
      </c>
      <c r="BA45" s="291" t="s">
        <v>59</v>
      </c>
      <c r="BB45" s="291" t="s">
        <v>132</v>
      </c>
      <c r="BC45" s="9">
        <v>6.3283793873526593</v>
      </c>
      <c r="BD45" s="291" t="s">
        <v>59</v>
      </c>
      <c r="BE45" s="291" t="s">
        <v>189</v>
      </c>
      <c r="BF45" s="9">
        <v>5.9846376588010184</v>
      </c>
      <c r="BG45" s="291" t="s">
        <v>59</v>
      </c>
      <c r="BH45" s="67" t="s">
        <v>160</v>
      </c>
      <c r="BI45" s="9">
        <v>5.1831229847148155</v>
      </c>
      <c r="BJ45" s="57" t="s">
        <v>95</v>
      </c>
      <c r="BK45" s="291" t="s">
        <v>132</v>
      </c>
      <c r="BL45" s="9">
        <v>4.1421187804425976</v>
      </c>
      <c r="BM45" s="57" t="s">
        <v>95</v>
      </c>
      <c r="BN45" s="291" t="s">
        <v>189</v>
      </c>
      <c r="BO45" s="9">
        <v>3.9846735991223396</v>
      </c>
    </row>
    <row r="46" spans="1:67" x14ac:dyDescent="0.45">
      <c r="A46" s="10">
        <v>38</v>
      </c>
      <c r="B46" s="10" t="s">
        <v>276</v>
      </c>
      <c r="C46" s="75" t="s">
        <v>1976</v>
      </c>
      <c r="D46" s="65"/>
      <c r="E46" s="80" t="s">
        <v>2198</v>
      </c>
      <c r="F46" s="289" t="s">
        <v>2199</v>
      </c>
      <c r="G46" s="242"/>
      <c r="H46" s="10"/>
      <c r="I46" s="62">
        <v>145.41520184000001</v>
      </c>
      <c r="J46" s="62">
        <v>162.01150205000002</v>
      </c>
      <c r="K46" s="62">
        <v>151.73760192</v>
      </c>
      <c r="L46" s="49">
        <v>2279.9711034949892</v>
      </c>
      <c r="M46" s="49">
        <v>2337.9358116876911</v>
      </c>
      <c r="N46" s="49">
        <v>2385.3668302950964</v>
      </c>
      <c r="O46" s="61">
        <v>21.15576030112857</v>
      </c>
      <c r="P46" s="60"/>
      <c r="Q46" s="70" t="s">
        <v>36</v>
      </c>
      <c r="R46" s="9">
        <v>13.214876954560001</v>
      </c>
      <c r="S46" s="70" t="s">
        <v>36</v>
      </c>
      <c r="T46" s="9">
        <v>12.013524504145455</v>
      </c>
      <c r="U46" s="67" t="s">
        <v>2409</v>
      </c>
      <c r="V46" s="9">
        <v>10</v>
      </c>
      <c r="W46" s="75" t="s">
        <v>48</v>
      </c>
      <c r="X46" s="9">
        <v>140.5985937664</v>
      </c>
      <c r="Y46" s="75" t="s">
        <v>48</v>
      </c>
      <c r="Z46" s="9">
        <v>35.1496484416</v>
      </c>
      <c r="AA46" s="70" t="s">
        <v>36</v>
      </c>
      <c r="AB46" s="70" t="s">
        <v>48</v>
      </c>
      <c r="AC46" s="9">
        <v>18.183157554133334</v>
      </c>
      <c r="AD46" s="75" t="s">
        <v>138</v>
      </c>
      <c r="AE46" s="75" t="s">
        <v>48</v>
      </c>
      <c r="AF46" s="9">
        <v>16.989122490742858</v>
      </c>
      <c r="AG46" s="70" t="s">
        <v>36</v>
      </c>
      <c r="AH46" s="70" t="s">
        <v>19</v>
      </c>
      <c r="AI46" s="9">
        <v>16.79589072968421</v>
      </c>
      <c r="AJ46" s="70" t="s">
        <v>36</v>
      </c>
      <c r="AK46" s="75" t="s">
        <v>76</v>
      </c>
      <c r="AL46" s="9">
        <v>16.642697343584413</v>
      </c>
      <c r="AM46" s="70" t="s">
        <v>36</v>
      </c>
      <c r="AN46" s="72" t="s">
        <v>9</v>
      </c>
      <c r="AO46" s="9">
        <v>16.60518561016352</v>
      </c>
      <c r="AP46" s="60"/>
      <c r="AQ46" s="70" t="s">
        <v>36</v>
      </c>
      <c r="AR46" s="9">
        <v>11.208147169168001</v>
      </c>
      <c r="AS46" s="70" t="s">
        <v>138</v>
      </c>
      <c r="AT46" s="9">
        <v>3.9027157230560001</v>
      </c>
      <c r="AU46" s="75" t="s">
        <v>36</v>
      </c>
      <c r="AV46" s="9">
        <v>3.3333333333333002</v>
      </c>
      <c r="AW46" s="70" t="s">
        <v>19</v>
      </c>
      <c r="AX46" s="9">
        <v>159.79340040928003</v>
      </c>
      <c r="AY46" s="75" t="s">
        <v>48</v>
      </c>
      <c r="AZ46" s="9">
        <v>2.6991093575592733</v>
      </c>
      <c r="BA46" s="75" t="s">
        <v>36</v>
      </c>
      <c r="BB46" s="75" t="s">
        <v>48</v>
      </c>
      <c r="BC46" s="9">
        <v>12.005475662639087</v>
      </c>
      <c r="BD46" s="75" t="s">
        <v>138</v>
      </c>
      <c r="BE46" s="75" t="s">
        <v>48</v>
      </c>
      <c r="BF46" s="9">
        <v>11.379351875264829</v>
      </c>
      <c r="BG46" s="76" t="s">
        <v>14</v>
      </c>
      <c r="BH46" s="70" t="s">
        <v>48</v>
      </c>
      <c r="BI46" s="9">
        <v>10.841566344322072</v>
      </c>
      <c r="BJ46" s="70" t="s">
        <v>36</v>
      </c>
      <c r="BK46" s="75" t="s">
        <v>19</v>
      </c>
      <c r="BL46" s="9">
        <v>9.9783431105049605</v>
      </c>
      <c r="BM46" s="70" t="s">
        <v>138</v>
      </c>
      <c r="BN46" s="75" t="s">
        <v>19</v>
      </c>
      <c r="BO46" s="9">
        <v>9.5373187840038565</v>
      </c>
    </row>
    <row r="47" spans="1:67" x14ac:dyDescent="0.45">
      <c r="A47" s="10">
        <v>38</v>
      </c>
      <c r="B47" s="10" t="s">
        <v>60</v>
      </c>
      <c r="C47" s="291" t="s">
        <v>2115</v>
      </c>
      <c r="D47" s="59" t="s">
        <v>1886</v>
      </c>
      <c r="E47" s="63" t="s">
        <v>2224</v>
      </c>
      <c r="F47" s="289" t="s">
        <v>2225</v>
      </c>
      <c r="G47" s="78" t="s">
        <v>1893</v>
      </c>
      <c r="H47" s="10"/>
      <c r="I47" s="62">
        <v>146.20550185000002</v>
      </c>
      <c r="J47" s="62">
        <v>164.38240208000002</v>
      </c>
      <c r="K47" s="62">
        <v>151.73760192</v>
      </c>
      <c r="L47" s="49">
        <v>2309.0747120410851</v>
      </c>
      <c r="M47" s="49">
        <v>2369.2351629145596</v>
      </c>
      <c r="N47" s="49">
        <v>2418.490117840443</v>
      </c>
      <c r="O47" s="61">
        <v>21.421649318051692</v>
      </c>
      <c r="P47" s="60"/>
      <c r="Q47" s="14" t="s">
        <v>161</v>
      </c>
      <c r="R47" s="9">
        <v>18.544660222000001</v>
      </c>
      <c r="S47" s="14" t="s">
        <v>161</v>
      </c>
      <c r="T47" s="9">
        <v>12.363106814666667</v>
      </c>
      <c r="U47" s="74" t="s">
        <v>59</v>
      </c>
      <c r="V47" s="9">
        <v>15</v>
      </c>
      <c r="W47" s="291" t="s">
        <v>132</v>
      </c>
      <c r="X47" s="9">
        <v>115.04029144300002</v>
      </c>
      <c r="Y47" s="291" t="s">
        <v>132</v>
      </c>
      <c r="Z47" s="9">
        <v>37.109771433225809</v>
      </c>
      <c r="AA47" s="14" t="s">
        <v>161</v>
      </c>
      <c r="AB47" s="14" t="s">
        <v>63</v>
      </c>
      <c r="AC47" s="9">
        <v>16.768187870572689</v>
      </c>
      <c r="AD47" s="65" t="s">
        <v>161</v>
      </c>
      <c r="AE47" s="291" t="s">
        <v>132</v>
      </c>
      <c r="AF47" s="9">
        <v>16.601485837734806</v>
      </c>
      <c r="AG47" s="14" t="s">
        <v>161</v>
      </c>
      <c r="AH47" s="74" t="s">
        <v>189</v>
      </c>
      <c r="AI47" s="9">
        <v>16.232647727663974</v>
      </c>
      <c r="AJ47" s="74" t="s">
        <v>59</v>
      </c>
      <c r="AK47" s="65" t="s">
        <v>63</v>
      </c>
      <c r="AL47" s="9">
        <v>16.039213853463416</v>
      </c>
      <c r="AM47" s="67" t="s">
        <v>14</v>
      </c>
      <c r="AN47" s="14" t="s">
        <v>63</v>
      </c>
      <c r="AO47" s="9">
        <v>15.869587772745099</v>
      </c>
      <c r="AP47" s="60"/>
      <c r="AQ47" s="14" t="s">
        <v>161</v>
      </c>
      <c r="AR47" s="9">
        <v>19.246446630880001</v>
      </c>
      <c r="AS47" s="14" t="s">
        <v>161</v>
      </c>
      <c r="AT47" s="9">
        <v>6.4154822102933338</v>
      </c>
      <c r="AU47" s="291" t="s">
        <v>59</v>
      </c>
      <c r="AV47" s="9">
        <v>4</v>
      </c>
      <c r="AW47" s="74" t="s">
        <v>132</v>
      </c>
      <c r="AX47" s="9">
        <v>149.25237887590004</v>
      </c>
      <c r="AY47" s="291" t="s">
        <v>132</v>
      </c>
      <c r="AZ47" s="9">
        <v>1.9900317183453338</v>
      </c>
      <c r="BA47" s="291" t="s">
        <v>59</v>
      </c>
      <c r="BB47" s="291" t="s">
        <v>132</v>
      </c>
      <c r="BC47" s="9">
        <v>10.197088008456964</v>
      </c>
      <c r="BD47" s="65" t="s">
        <v>161</v>
      </c>
      <c r="BE47" s="291" t="s">
        <v>132</v>
      </c>
      <c r="BF47" s="9">
        <v>10.125531474335066</v>
      </c>
      <c r="BG47" s="65" t="s">
        <v>161</v>
      </c>
      <c r="BH47" s="74" t="s">
        <v>189</v>
      </c>
      <c r="BI47" s="9">
        <v>9.8267376519918148</v>
      </c>
      <c r="BJ47" s="14" t="s">
        <v>161</v>
      </c>
      <c r="BK47" s="65" t="s">
        <v>63</v>
      </c>
      <c r="BL47" s="9">
        <v>9.7496166096546304</v>
      </c>
      <c r="BM47" s="74" t="s">
        <v>59</v>
      </c>
      <c r="BN47" s="291" t="s">
        <v>189</v>
      </c>
      <c r="BO47" s="9">
        <v>9.6184638946118657</v>
      </c>
    </row>
    <row r="48" spans="1:67" x14ac:dyDescent="0.45">
      <c r="A48" s="10">
        <v>39</v>
      </c>
      <c r="B48" s="10" t="s">
        <v>1395</v>
      </c>
      <c r="C48" s="64" t="s">
        <v>2116</v>
      </c>
      <c r="D48" s="65"/>
      <c r="E48" s="63" t="s">
        <v>2221</v>
      </c>
      <c r="F48" s="289" t="s">
        <v>2226</v>
      </c>
      <c r="G48" s="77" t="s">
        <v>2189</v>
      </c>
      <c r="H48" s="10"/>
      <c r="I48" s="62">
        <v>75.078500950000006</v>
      </c>
      <c r="J48" s="62">
        <v>44.256800560000002</v>
      </c>
      <c r="K48" s="62">
        <v>210.21980266000003</v>
      </c>
      <c r="L48" s="49">
        <v>724.17313904952891</v>
      </c>
      <c r="M48" s="49">
        <v>787.2502746459952</v>
      </c>
      <c r="N48" s="49">
        <v>841.64538790445056</v>
      </c>
      <c r="O48" s="61">
        <v>8.9093562762501897</v>
      </c>
      <c r="P48" s="60"/>
      <c r="Q48" s="67" t="s">
        <v>14</v>
      </c>
      <c r="R48" s="9">
        <v>4.7539250475000001</v>
      </c>
      <c r="S48" s="15" t="s">
        <v>288</v>
      </c>
      <c r="T48" s="9">
        <v>6.9221617331666669</v>
      </c>
      <c r="U48" s="67" t="s">
        <v>2379</v>
      </c>
      <c r="V48" s="9">
        <v>10</v>
      </c>
      <c r="W48" s="65" t="s">
        <v>63</v>
      </c>
      <c r="X48" s="9">
        <v>46.047100570000005</v>
      </c>
      <c r="Y48" s="65" t="s">
        <v>84</v>
      </c>
      <c r="Z48" s="9">
        <v>14.32496224586207</v>
      </c>
      <c r="AA48" s="15" t="s">
        <v>288</v>
      </c>
      <c r="AB48" s="14" t="s">
        <v>84</v>
      </c>
      <c r="AC48" s="9">
        <v>9.6396454656751054</v>
      </c>
      <c r="AD48" s="64" t="s">
        <v>288</v>
      </c>
      <c r="AE48" s="65" t="s">
        <v>63</v>
      </c>
      <c r="AF48" s="9">
        <v>9.4891657924509811</v>
      </c>
      <c r="AG48" s="15" t="s">
        <v>288</v>
      </c>
      <c r="AH48" s="15" t="s">
        <v>1480</v>
      </c>
      <c r="AI48" s="9">
        <v>8.9039661265392791</v>
      </c>
      <c r="AJ48" s="67" t="s">
        <v>14</v>
      </c>
      <c r="AK48" s="65" t="s">
        <v>84</v>
      </c>
      <c r="AL48" s="9">
        <v>8.6016563571308033</v>
      </c>
      <c r="AM48" s="67" t="s">
        <v>14</v>
      </c>
      <c r="AN48" s="14" t="s">
        <v>63</v>
      </c>
      <c r="AO48" s="9">
        <v>8.5244465033333334</v>
      </c>
      <c r="AP48" s="60"/>
      <c r="AQ48" s="67" t="s">
        <v>2379</v>
      </c>
      <c r="AR48" s="9">
        <v>3.9280615370500005</v>
      </c>
      <c r="AS48" s="67" t="s">
        <v>2379</v>
      </c>
      <c r="AT48" s="9">
        <v>1.9640307685250002</v>
      </c>
      <c r="AU48" s="76" t="s">
        <v>14</v>
      </c>
      <c r="AV48" s="9">
        <v>3</v>
      </c>
      <c r="AW48" s="14" t="s">
        <v>63</v>
      </c>
      <c r="AX48" s="9">
        <v>65.4173538151</v>
      </c>
      <c r="AY48" s="64" t="s">
        <v>1480</v>
      </c>
      <c r="AZ48" s="9">
        <v>1.0324782412742859</v>
      </c>
      <c r="BA48" s="76" t="s">
        <v>14</v>
      </c>
      <c r="BB48" s="64" t="s">
        <v>1480</v>
      </c>
      <c r="BC48" s="9">
        <v>4.6618761113730267</v>
      </c>
      <c r="BD48" s="76" t="s">
        <v>14</v>
      </c>
      <c r="BE48" s="65" t="s">
        <v>63</v>
      </c>
      <c r="BF48" s="9">
        <v>4.5717015786582191</v>
      </c>
      <c r="BG48" s="76" t="s">
        <v>14</v>
      </c>
      <c r="BH48" s="14" t="s">
        <v>1532</v>
      </c>
      <c r="BI48" s="9">
        <v>4.465832690410938</v>
      </c>
      <c r="BJ48" s="67" t="s">
        <v>14</v>
      </c>
      <c r="BK48" s="65" t="s">
        <v>84</v>
      </c>
      <c r="BL48" s="9">
        <v>4.4278915732095241</v>
      </c>
      <c r="BM48" s="15" t="s">
        <v>288</v>
      </c>
      <c r="BN48" s="64" t="s">
        <v>1480</v>
      </c>
      <c r="BO48" s="9">
        <v>3.8112041564209465</v>
      </c>
    </row>
    <row r="49" spans="1:67" x14ac:dyDescent="0.45">
      <c r="A49" s="10">
        <v>40</v>
      </c>
      <c r="B49" s="10" t="s">
        <v>1393</v>
      </c>
      <c r="C49" s="64" t="s">
        <v>2116</v>
      </c>
      <c r="D49" s="65"/>
      <c r="E49" s="63" t="s">
        <v>2221</v>
      </c>
      <c r="F49" s="289" t="s">
        <v>2226</v>
      </c>
      <c r="G49" s="77" t="s">
        <v>2189</v>
      </c>
      <c r="H49" s="10"/>
      <c r="I49" s="62">
        <v>135.14130171000002</v>
      </c>
      <c r="J49" s="62">
        <v>82.981501050000006</v>
      </c>
      <c r="K49" s="62">
        <v>244.99300310000001</v>
      </c>
      <c r="L49" s="49">
        <v>1926.8840494952474</v>
      </c>
      <c r="M49" s="49">
        <v>1961.6222416389151</v>
      </c>
      <c r="N49" s="49">
        <v>1989.8631678514407</v>
      </c>
      <c r="O49" s="61">
        <v>18.772146268680075</v>
      </c>
      <c r="P49" s="60"/>
      <c r="Q49" s="14" t="s">
        <v>161</v>
      </c>
      <c r="R49" s="9">
        <v>17.216956205200002</v>
      </c>
      <c r="S49" s="14" t="s">
        <v>161</v>
      </c>
      <c r="T49" s="9">
        <v>11.477970803466668</v>
      </c>
      <c r="U49" s="67" t="s">
        <v>2379</v>
      </c>
      <c r="V49" s="9">
        <v>10</v>
      </c>
      <c r="W49" s="64" t="s">
        <v>112</v>
      </c>
      <c r="X49" s="9">
        <v>122.62717153900002</v>
      </c>
      <c r="Y49" s="64" t="s">
        <v>112</v>
      </c>
      <c r="Z49" s="9">
        <v>32.270308299736847</v>
      </c>
      <c r="AA49" s="15" t="s">
        <v>288</v>
      </c>
      <c r="AB49" s="15" t="s">
        <v>112</v>
      </c>
      <c r="AC49" s="9">
        <v>16.865575782852858</v>
      </c>
      <c r="AD49" s="64" t="s">
        <v>288</v>
      </c>
      <c r="AE49" s="65" t="s">
        <v>84</v>
      </c>
      <c r="AF49" s="9">
        <v>16.406214158890297</v>
      </c>
      <c r="AG49" s="15" t="s">
        <v>288</v>
      </c>
      <c r="AH49" s="14" t="s">
        <v>63</v>
      </c>
      <c r="AI49" s="9">
        <v>16.202067053862748</v>
      </c>
      <c r="AJ49" s="14" t="s">
        <v>161</v>
      </c>
      <c r="AK49" s="64" t="s">
        <v>112</v>
      </c>
      <c r="AL49" s="9">
        <v>15.680677318670213</v>
      </c>
      <c r="AM49" s="14" t="s">
        <v>161</v>
      </c>
      <c r="AN49" s="14" t="s">
        <v>84</v>
      </c>
      <c r="AO49" s="9">
        <v>15.664987300443407</v>
      </c>
      <c r="AP49" s="60"/>
      <c r="AQ49" s="14" t="s">
        <v>161</v>
      </c>
      <c r="AR49" s="9">
        <v>17.865634453408003</v>
      </c>
      <c r="AS49" s="14" t="s">
        <v>161</v>
      </c>
      <c r="AT49" s="9">
        <v>5.9552114844693342</v>
      </c>
      <c r="AU49" s="76" t="s">
        <v>14</v>
      </c>
      <c r="AV49" s="9">
        <v>3</v>
      </c>
      <c r="AW49" s="15" t="s">
        <v>112</v>
      </c>
      <c r="AX49" s="9">
        <v>159.11532300070004</v>
      </c>
      <c r="AY49" s="64" t="s">
        <v>112</v>
      </c>
      <c r="AZ49" s="9">
        <v>1.9889415375087505</v>
      </c>
      <c r="BA49" s="65" t="s">
        <v>161</v>
      </c>
      <c r="BB49" s="64" t="s">
        <v>112</v>
      </c>
      <c r="BC49" s="9">
        <v>9.6908239604749618</v>
      </c>
      <c r="BD49" s="65" t="s">
        <v>161</v>
      </c>
      <c r="BE49" s="65" t="s">
        <v>63</v>
      </c>
      <c r="BF49" s="9">
        <v>9.0384344117668523</v>
      </c>
      <c r="BG49" s="65" t="s">
        <v>161</v>
      </c>
      <c r="BH49" s="14" t="s">
        <v>84</v>
      </c>
      <c r="BI49" s="9">
        <v>8.855662526919355</v>
      </c>
      <c r="BJ49" s="67" t="s">
        <v>14</v>
      </c>
      <c r="BK49" s="64" t="s">
        <v>112</v>
      </c>
      <c r="BL49" s="9">
        <v>8.773089152646989</v>
      </c>
      <c r="BM49" s="14" t="s">
        <v>161</v>
      </c>
      <c r="BN49" s="291" t="s">
        <v>189</v>
      </c>
      <c r="BO49" s="9">
        <v>8.5552974499388306</v>
      </c>
    </row>
    <row r="50" spans="1:67" x14ac:dyDescent="0.45">
      <c r="A50" s="10">
        <v>41</v>
      </c>
      <c r="B50" s="10" t="s">
        <v>1390</v>
      </c>
      <c r="C50" s="63" t="s">
        <v>2117</v>
      </c>
      <c r="D50" s="65"/>
      <c r="E50" s="56" t="s">
        <v>2227</v>
      </c>
      <c r="F50" s="63" t="s">
        <v>2228</v>
      </c>
      <c r="G50" s="58" t="s">
        <v>2229</v>
      </c>
      <c r="H50" s="10"/>
      <c r="I50" s="62">
        <v>77.449400980000007</v>
      </c>
      <c r="J50" s="62">
        <v>69.546400880000007</v>
      </c>
      <c r="K50" s="62">
        <v>106.69050135000001</v>
      </c>
      <c r="L50" s="49">
        <v>667.14198204657157</v>
      </c>
      <c r="M50" s="49">
        <v>691.21367092288733</v>
      </c>
      <c r="N50" s="49">
        <v>711.09488982795233</v>
      </c>
      <c r="O50" s="61">
        <v>6.9374646774280322</v>
      </c>
      <c r="P50" s="60"/>
      <c r="Q50" s="15" t="s">
        <v>291</v>
      </c>
      <c r="R50" s="9">
        <v>4.0979760392000006</v>
      </c>
      <c r="S50" s="67" t="s">
        <v>66</v>
      </c>
      <c r="T50" s="9">
        <v>6.6469640588000001</v>
      </c>
      <c r="U50" s="15" t="s">
        <v>291</v>
      </c>
      <c r="V50" s="9">
        <v>12.5</v>
      </c>
      <c r="W50" s="63" t="s">
        <v>124</v>
      </c>
      <c r="X50" s="9">
        <v>38.175712470400001</v>
      </c>
      <c r="Y50" s="64" t="s">
        <v>52</v>
      </c>
      <c r="Z50" s="9">
        <v>20.790921673571432</v>
      </c>
      <c r="AA50" s="67" t="s">
        <v>66</v>
      </c>
      <c r="AB50" s="54" t="s">
        <v>124</v>
      </c>
      <c r="AC50" s="9">
        <v>9.323887466421052</v>
      </c>
      <c r="AD50" s="64" t="s">
        <v>291</v>
      </c>
      <c r="AE50" s="63" t="s">
        <v>124</v>
      </c>
      <c r="AF50" s="9">
        <v>9.3119988359365085</v>
      </c>
      <c r="AG50" s="67" t="s">
        <v>66</v>
      </c>
      <c r="AH50" s="15" t="s">
        <v>52</v>
      </c>
      <c r="AI50" s="9">
        <v>8.6813689211986311</v>
      </c>
      <c r="AJ50" s="15" t="s">
        <v>291</v>
      </c>
      <c r="AK50" s="64" t="s">
        <v>52</v>
      </c>
      <c r="AL50" s="9">
        <v>8.3802669214356449</v>
      </c>
      <c r="AM50" s="67" t="s">
        <v>66</v>
      </c>
      <c r="AN50" s="16" t="s">
        <v>210</v>
      </c>
      <c r="AO50" s="9">
        <v>7.8687496894189959</v>
      </c>
      <c r="AP50" s="60"/>
      <c r="AQ50" s="15" t="s">
        <v>291</v>
      </c>
      <c r="AR50" s="9">
        <v>3.5171055318500004</v>
      </c>
      <c r="AS50" s="67" t="s">
        <v>66</v>
      </c>
      <c r="AT50" s="9">
        <v>3.0136844254800002</v>
      </c>
      <c r="AU50" s="64" t="s">
        <v>291</v>
      </c>
      <c r="AV50" s="9">
        <v>3.5</v>
      </c>
      <c r="AW50" s="15" t="s">
        <v>52</v>
      </c>
      <c r="AX50" s="9">
        <v>66.444743828100002</v>
      </c>
      <c r="AY50" s="63" t="s">
        <v>124</v>
      </c>
      <c r="AZ50" s="9">
        <v>0.98656852423040009</v>
      </c>
      <c r="BA50" s="64" t="s">
        <v>291</v>
      </c>
      <c r="BB50" s="63" t="s">
        <v>124</v>
      </c>
      <c r="BC50" s="9">
        <v>4.8706005614312149</v>
      </c>
      <c r="BD50" s="64" t="s">
        <v>291</v>
      </c>
      <c r="BE50" s="64" t="s">
        <v>52</v>
      </c>
      <c r="BF50" s="9">
        <v>4.8388475784095242</v>
      </c>
      <c r="BG50" s="76" t="s">
        <v>66</v>
      </c>
      <c r="BH50" s="54" t="s">
        <v>124</v>
      </c>
      <c r="BI50" s="9">
        <v>4.7950206480200004</v>
      </c>
      <c r="BJ50" s="67" t="s">
        <v>66</v>
      </c>
      <c r="BK50" s="64" t="s">
        <v>52</v>
      </c>
      <c r="BL50" s="9">
        <v>4.7756582977750002</v>
      </c>
      <c r="BM50" s="67" t="s">
        <v>66</v>
      </c>
      <c r="BN50" s="287" t="s">
        <v>210</v>
      </c>
      <c r="BO50" s="9">
        <v>4.2148295213803513</v>
      </c>
    </row>
    <row r="51" spans="1:67" x14ac:dyDescent="0.45">
      <c r="A51" s="10">
        <v>42</v>
      </c>
      <c r="B51" s="10" t="s">
        <v>155</v>
      </c>
      <c r="C51" s="63" t="s">
        <v>2117</v>
      </c>
      <c r="D51" s="65"/>
      <c r="E51" s="56" t="s">
        <v>2227</v>
      </c>
      <c r="F51" s="63" t="s">
        <v>2228</v>
      </c>
      <c r="G51" s="58" t="s">
        <v>2229</v>
      </c>
      <c r="H51" s="10"/>
      <c r="I51" s="62">
        <v>139.09280176000001</v>
      </c>
      <c r="J51" s="62">
        <v>130.39950165000002</v>
      </c>
      <c r="K51" s="62">
        <v>154.89880196000001</v>
      </c>
      <c r="L51" s="49">
        <v>1976.8178341763855</v>
      </c>
      <c r="M51" s="49">
        <v>1991.0664928496346</v>
      </c>
      <c r="N51" s="49">
        <v>2002.5393301831184</v>
      </c>
      <c r="O51" s="61">
        <v>17.868661966218806</v>
      </c>
      <c r="P51" s="60"/>
      <c r="Q51" s="16" t="s">
        <v>1505</v>
      </c>
      <c r="R51" s="9">
        <v>7.6764544844800007</v>
      </c>
      <c r="S51" s="67" t="s">
        <v>66</v>
      </c>
      <c r="T51" s="9">
        <v>10.345568105600002</v>
      </c>
      <c r="U51" s="16" t="s">
        <v>1505</v>
      </c>
      <c r="V51" s="9">
        <v>11.25</v>
      </c>
      <c r="W51" s="77" t="s">
        <v>73</v>
      </c>
      <c r="X51" s="9">
        <v>70.546400880000007</v>
      </c>
      <c r="Y51" s="64" t="s">
        <v>52</v>
      </c>
      <c r="Z51" s="9">
        <v>36.201771868571434</v>
      </c>
      <c r="AA51" s="16" t="s">
        <v>1505</v>
      </c>
      <c r="AB51" s="68" t="s">
        <v>73</v>
      </c>
      <c r="AC51" s="9">
        <v>15.205079584238806</v>
      </c>
      <c r="AD51" s="287" t="s">
        <v>1505</v>
      </c>
      <c r="AE51" s="64" t="s">
        <v>52</v>
      </c>
      <c r="AF51" s="9">
        <v>14.680070139170882</v>
      </c>
      <c r="AG51" s="67" t="s">
        <v>66</v>
      </c>
      <c r="AH51" s="68" t="s">
        <v>73</v>
      </c>
      <c r="AI51" s="9">
        <v>14.616886652972976</v>
      </c>
      <c r="AJ51" s="67" t="s">
        <v>66</v>
      </c>
      <c r="AK51" s="64" t="s">
        <v>52</v>
      </c>
      <c r="AL51" s="9">
        <v>14.064611112602742</v>
      </c>
      <c r="AM51" s="16" t="s">
        <v>1505</v>
      </c>
      <c r="AN51" s="16" t="s">
        <v>210</v>
      </c>
      <c r="AO51" s="9">
        <v>13.117937821561432</v>
      </c>
      <c r="AP51" s="60"/>
      <c r="AQ51" s="16" t="s">
        <v>1505</v>
      </c>
      <c r="AR51" s="9">
        <v>6.4246192686400008</v>
      </c>
      <c r="AS51" s="67" t="s">
        <v>66</v>
      </c>
      <c r="AT51" s="9">
        <v>4.6164128457600002</v>
      </c>
      <c r="AU51" s="287" t="s">
        <v>1505</v>
      </c>
      <c r="AV51" s="9">
        <v>3.5</v>
      </c>
      <c r="AW51" s="15" t="s">
        <v>52</v>
      </c>
      <c r="AX51" s="9">
        <v>118.53341748720001</v>
      </c>
      <c r="AY51" s="64" t="s">
        <v>52</v>
      </c>
      <c r="AZ51" s="9">
        <v>1.6933345355314287</v>
      </c>
      <c r="BA51" s="287" t="s">
        <v>1505</v>
      </c>
      <c r="BB51" s="64" t="s">
        <v>52</v>
      </c>
      <c r="BC51" s="9">
        <v>8.7037909606476198</v>
      </c>
      <c r="BD51" s="287" t="s">
        <v>1505</v>
      </c>
      <c r="BE51" s="77" t="s">
        <v>73</v>
      </c>
      <c r="BF51" s="9">
        <v>8.4891137417367517</v>
      </c>
      <c r="BG51" s="76" t="s">
        <v>66</v>
      </c>
      <c r="BH51" s="15" t="s">
        <v>52</v>
      </c>
      <c r="BI51" s="9">
        <v>7.7807740858000001</v>
      </c>
      <c r="BJ51" s="67" t="s">
        <v>66</v>
      </c>
      <c r="BK51" s="77" t="s">
        <v>73</v>
      </c>
      <c r="BL51" s="9">
        <v>7.661813136926316</v>
      </c>
      <c r="BM51" s="16" t="s">
        <v>1505</v>
      </c>
      <c r="BN51" s="287" t="s">
        <v>210</v>
      </c>
      <c r="BO51" s="9">
        <v>6.9745476781278635</v>
      </c>
    </row>
    <row r="52" spans="1:67" x14ac:dyDescent="0.45">
      <c r="A52" s="10">
        <v>43</v>
      </c>
      <c r="B52" s="10" t="s">
        <v>1387</v>
      </c>
      <c r="C52" s="63" t="s">
        <v>2106</v>
      </c>
      <c r="D52" s="65"/>
      <c r="E52" s="287" t="s">
        <v>2196</v>
      </c>
      <c r="F52" s="58" t="s">
        <v>2197</v>
      </c>
      <c r="G52" s="79" t="s">
        <v>1983</v>
      </c>
      <c r="H52" s="10"/>
      <c r="I52" s="62">
        <v>115.38380146</v>
      </c>
      <c r="J52" s="62">
        <v>100.36810127000001</v>
      </c>
      <c r="K52" s="62">
        <v>113.01290143000001</v>
      </c>
      <c r="L52" s="49">
        <v>1228.8721725472935</v>
      </c>
      <c r="M52" s="49">
        <v>1196.4991222158314</v>
      </c>
      <c r="N52" s="49">
        <v>1171.2158038360931</v>
      </c>
      <c r="O52" s="61">
        <v>10.308268953317775</v>
      </c>
      <c r="P52" s="60"/>
      <c r="Q52" s="72" t="s">
        <v>64</v>
      </c>
      <c r="R52" s="9">
        <v>9.9999365138799998</v>
      </c>
      <c r="S52" s="72" t="s">
        <v>64</v>
      </c>
      <c r="T52" s="9">
        <v>9.9999365138799998</v>
      </c>
      <c r="U52" s="54" t="s">
        <v>104</v>
      </c>
      <c r="V52" s="9">
        <v>10</v>
      </c>
      <c r="W52" s="65" t="s">
        <v>1496</v>
      </c>
      <c r="X52" s="9">
        <v>75.999470948999999</v>
      </c>
      <c r="Y52" s="64" t="s">
        <v>52</v>
      </c>
      <c r="Z52" s="9">
        <v>30.274521793571431</v>
      </c>
      <c r="AA52" s="54" t="s">
        <v>104</v>
      </c>
      <c r="AB52" s="54" t="s">
        <v>124</v>
      </c>
      <c r="AC52" s="9">
        <v>13.914555848431506</v>
      </c>
      <c r="AD52" s="79" t="s">
        <v>64</v>
      </c>
      <c r="AE52" s="63" t="s">
        <v>124</v>
      </c>
      <c r="AF52" s="9">
        <v>13.535346423594552</v>
      </c>
      <c r="AG52" s="54" t="s">
        <v>104</v>
      </c>
      <c r="AH52" s="72" t="s">
        <v>264</v>
      </c>
      <c r="AI52" s="9">
        <v>12.737057020300613</v>
      </c>
      <c r="AJ52" s="54" t="s">
        <v>104</v>
      </c>
      <c r="AK52" s="64" t="s">
        <v>52</v>
      </c>
      <c r="AL52" s="9">
        <v>12.724013367933884</v>
      </c>
      <c r="AM52" s="72" t="s">
        <v>64</v>
      </c>
      <c r="AN52" s="72" t="s">
        <v>264</v>
      </c>
      <c r="AO52" s="9">
        <v>12.634305312323386</v>
      </c>
      <c r="AP52" s="60"/>
      <c r="AQ52" s="72" t="s">
        <v>64</v>
      </c>
      <c r="AR52" s="9">
        <v>10.899930165268</v>
      </c>
      <c r="AS52" s="72" t="s">
        <v>64</v>
      </c>
      <c r="AT52" s="9">
        <v>5.4499650826339998</v>
      </c>
      <c r="AU52" s="63" t="s">
        <v>104</v>
      </c>
      <c r="AV52" s="9">
        <v>2.5</v>
      </c>
      <c r="AW52" s="14" t="s">
        <v>3474</v>
      </c>
      <c r="AX52" s="9">
        <v>98.49931223370001</v>
      </c>
      <c r="AY52" s="63" t="s">
        <v>124</v>
      </c>
      <c r="AZ52" s="9">
        <v>1.4599898422208</v>
      </c>
      <c r="BA52" s="79" t="s">
        <v>64</v>
      </c>
      <c r="BB52" s="63" t="s">
        <v>124</v>
      </c>
      <c r="BC52" s="9">
        <v>8.0480238144957692</v>
      </c>
      <c r="BD52" s="79" t="s">
        <v>64</v>
      </c>
      <c r="BE52" s="65" t="s">
        <v>1496</v>
      </c>
      <c r="BF52" s="9">
        <v>8.0346691701636122</v>
      </c>
      <c r="BG52" s="79" t="s">
        <v>64</v>
      </c>
      <c r="BH52" s="15" t="s">
        <v>52</v>
      </c>
      <c r="BI52" s="9">
        <v>8.0346691701636122</v>
      </c>
      <c r="BJ52" s="72" t="s">
        <v>64</v>
      </c>
      <c r="BK52" s="79" t="s">
        <v>264</v>
      </c>
      <c r="BL52" s="9">
        <v>7.5951882132866668</v>
      </c>
      <c r="BM52" s="54" t="s">
        <v>104</v>
      </c>
      <c r="BN52" s="63" t="s">
        <v>124</v>
      </c>
      <c r="BO52" s="9">
        <v>6.5237671997295239</v>
      </c>
    </row>
    <row r="53" spans="1:67" x14ac:dyDescent="0.45">
      <c r="A53" s="10">
        <v>44</v>
      </c>
      <c r="B53" s="10" t="s">
        <v>1386</v>
      </c>
      <c r="C53" s="63" t="s">
        <v>2106</v>
      </c>
      <c r="D53" s="65"/>
      <c r="E53" s="287" t="s">
        <v>2196</v>
      </c>
      <c r="F53" s="58" t="s">
        <v>2197</v>
      </c>
      <c r="G53" s="79" t="s">
        <v>1983</v>
      </c>
      <c r="H53" s="10"/>
      <c r="I53" s="62">
        <v>132.77040168000002</v>
      </c>
      <c r="J53" s="62">
        <v>119.33530151000001</v>
      </c>
      <c r="K53" s="62">
        <v>134.35100170000001</v>
      </c>
      <c r="L53" s="49">
        <v>1681.1489393274449</v>
      </c>
      <c r="M53" s="49">
        <v>1654.7818232726186</v>
      </c>
      <c r="N53" s="49">
        <v>1633.9861930914888</v>
      </c>
      <c r="O53" s="61">
        <v>14.323516174654292</v>
      </c>
      <c r="P53" s="60"/>
      <c r="Q53" s="72" t="s">
        <v>64</v>
      </c>
      <c r="R53" s="9">
        <v>11.356091331040002</v>
      </c>
      <c r="S53" s="72" t="s">
        <v>64</v>
      </c>
      <c r="T53" s="9">
        <v>11.356091331040002</v>
      </c>
      <c r="U53" s="54" t="s">
        <v>104</v>
      </c>
      <c r="V53" s="9">
        <v>10</v>
      </c>
      <c r="W53" s="79" t="s">
        <v>103</v>
      </c>
      <c r="X53" s="9">
        <v>88.628465108800015</v>
      </c>
      <c r="Y53" s="64" t="s">
        <v>52</v>
      </c>
      <c r="Z53" s="9">
        <v>34.621171848571436</v>
      </c>
      <c r="AA53" s="54" t="s">
        <v>104</v>
      </c>
      <c r="AB53" s="54" t="s">
        <v>124</v>
      </c>
      <c r="AC53" s="9">
        <v>15.861616900465757</v>
      </c>
      <c r="AD53" s="79" t="s">
        <v>64</v>
      </c>
      <c r="AE53" s="63" t="s">
        <v>124</v>
      </c>
      <c r="AF53" s="9">
        <v>15.444979065004542</v>
      </c>
      <c r="AG53" s="54" t="s">
        <v>104</v>
      </c>
      <c r="AH53" s="72" t="s">
        <v>103</v>
      </c>
      <c r="AI53" s="9">
        <v>14.987175929858465</v>
      </c>
      <c r="AJ53" s="72" t="s">
        <v>64</v>
      </c>
      <c r="AK53" s="79" t="s">
        <v>103</v>
      </c>
      <c r="AL53" s="9">
        <v>14.714195174681821</v>
      </c>
      <c r="AM53" s="54" t="s">
        <v>104</v>
      </c>
      <c r="AN53" s="15" t="s">
        <v>52</v>
      </c>
      <c r="AO53" s="9">
        <v>14.448304298842974</v>
      </c>
      <c r="AP53" s="60"/>
      <c r="AQ53" s="72" t="s">
        <v>64</v>
      </c>
      <c r="AR53" s="9">
        <v>12.391700464144002</v>
      </c>
      <c r="AS53" s="72" t="s">
        <v>64</v>
      </c>
      <c r="AT53" s="9">
        <v>6.1958502320720008</v>
      </c>
      <c r="AU53" s="63" t="s">
        <v>104</v>
      </c>
      <c r="AV53" s="9">
        <v>2.5</v>
      </c>
      <c r="AW53" s="72" t="s">
        <v>103</v>
      </c>
      <c r="AX53" s="9">
        <v>114.91700464144002</v>
      </c>
      <c r="AY53" s="79" t="s">
        <v>103</v>
      </c>
      <c r="AZ53" s="9">
        <v>1.7679539175606156</v>
      </c>
      <c r="BA53" s="79" t="s">
        <v>64</v>
      </c>
      <c r="BB53" s="79" t="s">
        <v>103</v>
      </c>
      <c r="BC53" s="9">
        <v>9.4412578263814932</v>
      </c>
      <c r="BD53" s="79" t="s">
        <v>64</v>
      </c>
      <c r="BE53" s="63" t="s">
        <v>124</v>
      </c>
      <c r="BF53" s="9">
        <v>9.1824994788507706</v>
      </c>
      <c r="BG53" s="79" t="s">
        <v>64</v>
      </c>
      <c r="BH53" s="14" t="s">
        <v>1496</v>
      </c>
      <c r="BI53" s="9">
        <v>9.1679374317255569</v>
      </c>
      <c r="BJ53" s="72" t="s">
        <v>64</v>
      </c>
      <c r="BK53" s="64" t="s">
        <v>52</v>
      </c>
      <c r="BL53" s="9">
        <v>9.1679374317255569</v>
      </c>
      <c r="BM53" s="54" t="s">
        <v>104</v>
      </c>
      <c r="BN53" s="79" t="s">
        <v>103</v>
      </c>
      <c r="BO53" s="9">
        <v>7.7294265564278533</v>
      </c>
    </row>
    <row r="54" spans="1:67" x14ac:dyDescent="0.45">
      <c r="A54" s="10">
        <v>45</v>
      </c>
      <c r="B54" s="10" t="s">
        <v>1385</v>
      </c>
      <c r="C54" s="63" t="s">
        <v>2106</v>
      </c>
      <c r="D54" s="65"/>
      <c r="E54" s="287" t="s">
        <v>2196</v>
      </c>
      <c r="F54" s="58" t="s">
        <v>2197</v>
      </c>
      <c r="G54" s="79" t="s">
        <v>1983</v>
      </c>
      <c r="H54" s="10"/>
      <c r="I54" s="62">
        <v>171.49510217000002</v>
      </c>
      <c r="J54" s="62">
        <v>143.83460182000002</v>
      </c>
      <c r="K54" s="62">
        <v>154.89880196000001</v>
      </c>
      <c r="L54" s="49">
        <v>2559.8082733965539</v>
      </c>
      <c r="M54" s="49">
        <v>2444.0425936962192</v>
      </c>
      <c r="N54" s="49">
        <v>2355.2110805304706</v>
      </c>
      <c r="O54" s="61">
        <v>19.478172339655895</v>
      </c>
      <c r="P54" s="60"/>
      <c r="Q54" s="72" t="s">
        <v>64</v>
      </c>
      <c r="R54" s="9">
        <v>14.376617969260002</v>
      </c>
      <c r="S54" s="72" t="s">
        <v>64</v>
      </c>
      <c r="T54" s="9">
        <v>14.376617969260002</v>
      </c>
      <c r="U54" s="54" t="s">
        <v>104</v>
      </c>
      <c r="V54" s="9">
        <v>10</v>
      </c>
      <c r="W54" s="79" t="s">
        <v>9</v>
      </c>
      <c r="X54" s="9">
        <v>186.21471034360002</v>
      </c>
      <c r="Y54" s="64" t="s">
        <v>52</v>
      </c>
      <c r="Z54" s="9">
        <v>44.302346971071437</v>
      </c>
      <c r="AA54" s="54" t="s">
        <v>104</v>
      </c>
      <c r="AB54" s="72" t="s">
        <v>9</v>
      </c>
      <c r="AC54" s="9">
        <v>20.889168108950329</v>
      </c>
      <c r="AD54" s="63" t="s">
        <v>104</v>
      </c>
      <c r="AE54" s="63" t="s">
        <v>124</v>
      </c>
      <c r="AF54" s="9">
        <v>20.198252879996577</v>
      </c>
      <c r="AG54" s="72" t="s">
        <v>64</v>
      </c>
      <c r="AH54" s="72" t="s">
        <v>9</v>
      </c>
      <c r="AI54" s="9">
        <v>20.194169843341712</v>
      </c>
      <c r="AJ54" s="72" t="s">
        <v>64</v>
      </c>
      <c r="AK54" s="63" t="s">
        <v>124</v>
      </c>
      <c r="AL54" s="9">
        <v>19.698251766326781</v>
      </c>
      <c r="AM54" s="54" t="s">
        <v>104</v>
      </c>
      <c r="AN54" s="72" t="s">
        <v>103</v>
      </c>
      <c r="AO54" s="9">
        <v>19.044333011964618</v>
      </c>
      <c r="AP54" s="60"/>
      <c r="AQ54" s="72" t="s">
        <v>64</v>
      </c>
      <c r="AR54" s="9">
        <v>15.714279766186003</v>
      </c>
      <c r="AS54" s="72" t="s">
        <v>64</v>
      </c>
      <c r="AT54" s="9">
        <v>7.8571398830930015</v>
      </c>
      <c r="AU54" s="63" t="s">
        <v>104</v>
      </c>
      <c r="AV54" s="9">
        <v>2.5</v>
      </c>
      <c r="AW54" s="72" t="s">
        <v>9</v>
      </c>
      <c r="AX54" s="9">
        <v>201.64926953890003</v>
      </c>
      <c r="AY54" s="79" t="s">
        <v>9</v>
      </c>
      <c r="AZ54" s="9">
        <v>2.5206158692362504</v>
      </c>
      <c r="BA54" s="79" t="s">
        <v>64</v>
      </c>
      <c r="BB54" s="79" t="s">
        <v>9</v>
      </c>
      <c r="BC54" s="9">
        <v>12.583777191771222</v>
      </c>
      <c r="BD54" s="79" t="s">
        <v>64</v>
      </c>
      <c r="BE54" s="79" t="s">
        <v>103</v>
      </c>
      <c r="BF54" s="9">
        <v>12.044771458578586</v>
      </c>
      <c r="BG54" s="79" t="s">
        <v>64</v>
      </c>
      <c r="BH54" s="54" t="s">
        <v>124</v>
      </c>
      <c r="BI54" s="9">
        <v>11.70928618582327</v>
      </c>
      <c r="BJ54" s="72" t="s">
        <v>64</v>
      </c>
      <c r="BK54" s="65" t="s">
        <v>1496</v>
      </c>
      <c r="BL54" s="9">
        <v>11.692034923386252</v>
      </c>
      <c r="BM54" s="72" t="s">
        <v>64</v>
      </c>
      <c r="BN54" s="64" t="s">
        <v>52</v>
      </c>
      <c r="BO54" s="9">
        <v>11.692034923386252</v>
      </c>
    </row>
    <row r="55" spans="1:67" x14ac:dyDescent="0.45">
      <c r="A55" s="10">
        <v>46</v>
      </c>
      <c r="B55" s="10" t="s">
        <v>1384</v>
      </c>
      <c r="C55" s="289" t="s">
        <v>2118</v>
      </c>
      <c r="D55" s="287" t="s">
        <v>2107</v>
      </c>
      <c r="E55" s="63" t="s">
        <v>2230</v>
      </c>
      <c r="F55" s="58" t="s">
        <v>2231</v>
      </c>
      <c r="G55" s="80" t="s">
        <v>2179</v>
      </c>
      <c r="H55" s="10"/>
      <c r="I55" s="62">
        <v>107.48080136</v>
      </c>
      <c r="J55" s="62">
        <v>90.09420114000001</v>
      </c>
      <c r="K55" s="62">
        <v>99.577801260000001</v>
      </c>
      <c r="L55" s="49">
        <v>1018.0300121705901</v>
      </c>
      <c r="M55" s="49">
        <v>976.02328348514277</v>
      </c>
      <c r="N55" s="49">
        <v>943.66936262973707</v>
      </c>
      <c r="O55" s="61">
        <v>8.2299148517763729</v>
      </c>
      <c r="P55" s="60"/>
      <c r="Q55" s="15" t="s">
        <v>3425</v>
      </c>
      <c r="R55" s="9">
        <v>4.2244240407999998</v>
      </c>
      <c r="S55" s="15" t="s">
        <v>3425</v>
      </c>
      <c r="T55" s="9">
        <v>8.4488480815999996</v>
      </c>
      <c r="U55" s="69" t="s">
        <v>38</v>
      </c>
      <c r="V55" s="9">
        <v>12</v>
      </c>
      <c r="W55" s="79" t="s">
        <v>264</v>
      </c>
      <c r="X55" s="9">
        <v>36.468664448799998</v>
      </c>
      <c r="Y55" s="289" t="s">
        <v>26</v>
      </c>
      <c r="Z55" s="9">
        <v>18.762385229499998</v>
      </c>
      <c r="AA55" s="69" t="s">
        <v>38</v>
      </c>
      <c r="AB55" s="72" t="s">
        <v>264</v>
      </c>
      <c r="AC55" s="9">
        <v>12.2879084756082</v>
      </c>
      <c r="AD55" s="289" t="s">
        <v>38</v>
      </c>
      <c r="AE55" s="289" t="s">
        <v>26</v>
      </c>
      <c r="AF55" s="9">
        <v>12.218262673725889</v>
      </c>
      <c r="AG55" s="15" t="s">
        <v>1489</v>
      </c>
      <c r="AH55" s="72" t="s">
        <v>264</v>
      </c>
      <c r="AI55" s="9">
        <v>11.437052891829786</v>
      </c>
      <c r="AJ55" s="15" t="s">
        <v>1489</v>
      </c>
      <c r="AK55" s="289" t="s">
        <v>26</v>
      </c>
      <c r="AL55" s="9">
        <v>11.310407521479767</v>
      </c>
      <c r="AM55" s="69" t="s">
        <v>38</v>
      </c>
      <c r="AN55" s="54" t="s">
        <v>1511</v>
      </c>
      <c r="AO55" s="9">
        <v>10.745107649038959</v>
      </c>
      <c r="AP55" s="60"/>
      <c r="AQ55" s="15" t="s">
        <v>1489</v>
      </c>
      <c r="AR55" s="9">
        <v>3.79450083536</v>
      </c>
      <c r="AS55" s="15" t="s">
        <v>1489</v>
      </c>
      <c r="AT55" s="9">
        <v>3.79450083536</v>
      </c>
      <c r="AU55" s="289" t="s">
        <v>38</v>
      </c>
      <c r="AV55" s="9">
        <v>3</v>
      </c>
      <c r="AW55" s="72" t="s">
        <v>264</v>
      </c>
      <c r="AX55" s="9">
        <v>47.109263783439999</v>
      </c>
      <c r="AY55" s="79" t="s">
        <v>264</v>
      </c>
      <c r="AZ55" s="9">
        <v>1.1777315945860001</v>
      </c>
      <c r="BA55" s="289" t="s">
        <v>38</v>
      </c>
      <c r="BB55" s="79" t="s">
        <v>264</v>
      </c>
      <c r="BC55" s="9">
        <v>6.5565074749600001</v>
      </c>
      <c r="BD55" s="289" t="s">
        <v>38</v>
      </c>
      <c r="BE55" s="289" t="s">
        <v>26</v>
      </c>
      <c r="BF55" s="9">
        <v>6.2948436880505261</v>
      </c>
      <c r="BG55" s="64" t="s">
        <v>1489</v>
      </c>
      <c r="BH55" s="72" t="s">
        <v>264</v>
      </c>
      <c r="BI55" s="9">
        <v>5.8571085947923809</v>
      </c>
      <c r="BJ55" s="15" t="s">
        <v>1489</v>
      </c>
      <c r="BK55" s="289" t="s">
        <v>26</v>
      </c>
      <c r="BL55" s="9">
        <v>5.6826770754681082</v>
      </c>
      <c r="BM55" s="69" t="s">
        <v>38</v>
      </c>
      <c r="BN55" s="63" t="s">
        <v>1511</v>
      </c>
      <c r="BO55" s="9">
        <v>5.522678983543158</v>
      </c>
    </row>
    <row r="56" spans="1:67" x14ac:dyDescent="0.45">
      <c r="A56" s="10">
        <v>47</v>
      </c>
      <c r="B56" s="10" t="s">
        <v>1382</v>
      </c>
      <c r="C56" s="289" t="s">
        <v>2118</v>
      </c>
      <c r="D56" s="287" t="s">
        <v>2107</v>
      </c>
      <c r="E56" s="63" t="s">
        <v>2230</v>
      </c>
      <c r="F56" s="58" t="s">
        <v>2231</v>
      </c>
      <c r="G56" s="80" t="s">
        <v>2179</v>
      </c>
      <c r="H56" s="10"/>
      <c r="I56" s="62">
        <v>142.2540018</v>
      </c>
      <c r="J56" s="62">
        <v>127.23830161000001</v>
      </c>
      <c r="K56" s="62">
        <v>134.35100170000001</v>
      </c>
      <c r="L56" s="49">
        <v>1859.9183477378033</v>
      </c>
      <c r="M56" s="49">
        <v>1808.3486927425718</v>
      </c>
      <c r="N56" s="49">
        <v>1768.1243894637453</v>
      </c>
      <c r="O56" s="61">
        <v>15.165021674205484</v>
      </c>
      <c r="P56" s="60"/>
      <c r="Q56" s="69" t="s">
        <v>1523</v>
      </c>
      <c r="R56" s="9">
        <v>13.802860162</v>
      </c>
      <c r="S56" s="69" t="s">
        <v>38</v>
      </c>
      <c r="T56" s="9">
        <v>10.535240108</v>
      </c>
      <c r="U56" s="69" t="s">
        <v>27</v>
      </c>
      <c r="V56" s="9">
        <v>15</v>
      </c>
      <c r="W56" s="79" t="s">
        <v>9</v>
      </c>
      <c r="X56" s="9">
        <v>154.63432194399999</v>
      </c>
      <c r="Y56" s="79" t="s">
        <v>9</v>
      </c>
      <c r="Z56" s="9">
        <v>31.558024886530607</v>
      </c>
      <c r="AA56" s="69" t="s">
        <v>27</v>
      </c>
      <c r="AB56" s="72" t="s">
        <v>9</v>
      </c>
      <c r="AC56" s="9">
        <v>18.390089443999997</v>
      </c>
      <c r="AD56" s="289" t="s">
        <v>38</v>
      </c>
      <c r="AE56" s="79" t="s">
        <v>9</v>
      </c>
      <c r="AF56" s="9">
        <v>18.222676332985074</v>
      </c>
      <c r="AG56" s="69" t="s">
        <v>1523</v>
      </c>
      <c r="AH56" s="72" t="s">
        <v>9</v>
      </c>
      <c r="AI56" s="9">
        <v>16.315217082987012</v>
      </c>
      <c r="AJ56" s="69" t="s">
        <v>38</v>
      </c>
      <c r="AK56" s="289" t="s">
        <v>26</v>
      </c>
      <c r="AL56" s="9">
        <v>15.686757032335025</v>
      </c>
      <c r="AM56" s="69" t="s">
        <v>27</v>
      </c>
      <c r="AN56" s="69" t="s">
        <v>26</v>
      </c>
      <c r="AO56" s="9">
        <v>15.485634476569766</v>
      </c>
      <c r="AP56" s="60"/>
      <c r="AQ56" s="69" t="s">
        <v>1523</v>
      </c>
      <c r="AR56" s="9">
        <v>10.986230926359999</v>
      </c>
      <c r="AS56" s="69" t="s">
        <v>38</v>
      </c>
      <c r="AT56" s="9">
        <v>4.3287436421200001</v>
      </c>
      <c r="AU56" s="289" t="s">
        <v>27</v>
      </c>
      <c r="AV56" s="9">
        <v>4</v>
      </c>
      <c r="AW56" s="72" t="s">
        <v>9</v>
      </c>
      <c r="AX56" s="9">
        <v>167.43718210599999</v>
      </c>
      <c r="AY56" s="79" t="s">
        <v>9</v>
      </c>
      <c r="AZ56" s="9">
        <v>2.0929647763250001</v>
      </c>
      <c r="BA56" s="289" t="s">
        <v>27</v>
      </c>
      <c r="BB56" s="79" t="s">
        <v>9</v>
      </c>
      <c r="BC56" s="9">
        <v>11.039068127028571</v>
      </c>
      <c r="BD56" s="289" t="s">
        <v>38</v>
      </c>
      <c r="BE56" s="79" t="s">
        <v>9</v>
      </c>
      <c r="BF56" s="9">
        <v>10.22422936973012</v>
      </c>
      <c r="BG56" s="289" t="s">
        <v>1523</v>
      </c>
      <c r="BH56" s="72" t="s">
        <v>9</v>
      </c>
      <c r="BI56" s="9">
        <v>8.9451448828903217</v>
      </c>
      <c r="BJ56" s="69" t="s">
        <v>27</v>
      </c>
      <c r="BK56" s="289" t="s">
        <v>26</v>
      </c>
      <c r="BL56" s="9">
        <v>8.1127000900000006</v>
      </c>
      <c r="BM56" s="69" t="s">
        <v>38</v>
      </c>
      <c r="BN56" s="289" t="s">
        <v>26</v>
      </c>
      <c r="BO56" s="9">
        <v>8.0078813518315801</v>
      </c>
    </row>
    <row r="57" spans="1:67" x14ac:dyDescent="0.45">
      <c r="A57" s="10">
        <v>48</v>
      </c>
      <c r="B57" s="10" t="s">
        <v>1380</v>
      </c>
      <c r="C57" s="63" t="s">
        <v>2109</v>
      </c>
      <c r="D57" s="65"/>
      <c r="E57" s="287" t="s">
        <v>2206</v>
      </c>
      <c r="F57" s="63" t="s">
        <v>2207</v>
      </c>
      <c r="G57" s="58" t="s">
        <v>2164</v>
      </c>
      <c r="H57" s="10"/>
      <c r="I57" s="62">
        <v>90.884501150000006</v>
      </c>
      <c r="J57" s="62">
        <v>90.884501150000006</v>
      </c>
      <c r="K57" s="62">
        <v>134.35100170000001</v>
      </c>
      <c r="L57" s="49">
        <v>1004.2808837744293</v>
      </c>
      <c r="M57" s="49">
        <v>1071.88216043538</v>
      </c>
      <c r="N57" s="49">
        <v>1129.2250934370509</v>
      </c>
      <c r="O57" s="61">
        <v>11.193140754713438</v>
      </c>
      <c r="P57" s="60"/>
      <c r="Q57" s="57" t="s">
        <v>101</v>
      </c>
      <c r="R57" s="9">
        <v>10.088450115000001</v>
      </c>
      <c r="S57" s="69" t="s">
        <v>38</v>
      </c>
      <c r="T57" s="9">
        <v>7.4530700689999998</v>
      </c>
      <c r="U57" s="69" t="s">
        <v>38</v>
      </c>
      <c r="V57" s="9">
        <v>12</v>
      </c>
      <c r="W57" s="289" t="s">
        <v>1534</v>
      </c>
      <c r="X57" s="9">
        <v>41.898025517500002</v>
      </c>
      <c r="Y57" s="64" t="s">
        <v>52</v>
      </c>
      <c r="Z57" s="9">
        <v>24.149696716071432</v>
      </c>
      <c r="AA57" s="69" t="s">
        <v>38</v>
      </c>
      <c r="AB57" s="15" t="s">
        <v>52</v>
      </c>
      <c r="AC57" s="9">
        <v>10.813732940455273</v>
      </c>
      <c r="AD57" s="289" t="s">
        <v>38</v>
      </c>
      <c r="AE57" s="289" t="s">
        <v>1534</v>
      </c>
      <c r="AF57" s="9">
        <v>10.323464736556604</v>
      </c>
      <c r="AG57" s="57" t="s">
        <v>101</v>
      </c>
      <c r="AH57" s="15" t="s">
        <v>52</v>
      </c>
      <c r="AI57" s="9">
        <v>9.2405245851501299</v>
      </c>
      <c r="AJ57" s="57" t="s">
        <v>101</v>
      </c>
      <c r="AK57" s="289" t="s">
        <v>1534</v>
      </c>
      <c r="AL57" s="9">
        <v>9.1732217693319829</v>
      </c>
      <c r="AM57" s="69" t="s">
        <v>38</v>
      </c>
      <c r="AN57" s="54" t="s">
        <v>154</v>
      </c>
      <c r="AO57" s="9">
        <v>9.1091429007071962</v>
      </c>
      <c r="AP57" s="60"/>
      <c r="AQ57" s="57" t="s">
        <v>101</v>
      </c>
      <c r="AR57" s="9">
        <v>10.451988119600001</v>
      </c>
      <c r="AS57" s="69" t="s">
        <v>38</v>
      </c>
      <c r="AT57" s="9">
        <v>3.12669732691</v>
      </c>
      <c r="AU57" s="242" t="s">
        <v>2455</v>
      </c>
      <c r="AV57" s="9">
        <v>3</v>
      </c>
      <c r="AW57" s="15" t="s">
        <v>52</v>
      </c>
      <c r="AX57" s="9">
        <v>77.797403471750002</v>
      </c>
      <c r="AY57" s="64" t="s">
        <v>52</v>
      </c>
      <c r="AZ57" s="9">
        <v>1.1113914781678571</v>
      </c>
      <c r="BA57" s="289" t="s">
        <v>38</v>
      </c>
      <c r="BB57" s="64" t="s">
        <v>52</v>
      </c>
      <c r="BC57" s="9">
        <v>6.1953564835472603</v>
      </c>
      <c r="BD57" s="289" t="s">
        <v>38</v>
      </c>
      <c r="BE57" s="289" t="s">
        <v>1534</v>
      </c>
      <c r="BF57" s="9">
        <v>5.7667353879017238</v>
      </c>
      <c r="BG57" s="242" t="s">
        <v>101</v>
      </c>
      <c r="BH57" s="15" t="s">
        <v>52</v>
      </c>
      <c r="BI57" s="9">
        <v>5.7027671576472612</v>
      </c>
      <c r="BJ57" s="57" t="s">
        <v>101</v>
      </c>
      <c r="BK57" s="289" t="s">
        <v>1534</v>
      </c>
      <c r="BL57" s="9">
        <v>5.2796057959094833</v>
      </c>
      <c r="BM57" s="69" t="s">
        <v>38</v>
      </c>
      <c r="BN57" s="63" t="s">
        <v>154</v>
      </c>
      <c r="BO57" s="9">
        <v>5.19742893469079</v>
      </c>
    </row>
    <row r="58" spans="1:67" x14ac:dyDescent="0.45">
      <c r="A58" s="10">
        <v>49</v>
      </c>
      <c r="B58" s="10" t="s">
        <v>256</v>
      </c>
      <c r="C58" s="63" t="s">
        <v>2109</v>
      </c>
      <c r="D58" s="65"/>
      <c r="E58" s="287" t="s">
        <v>2206</v>
      </c>
      <c r="F58" s="63" t="s">
        <v>2207</v>
      </c>
      <c r="G58" s="58" t="s">
        <v>2164</v>
      </c>
      <c r="H58" s="10"/>
      <c r="I58" s="62">
        <v>153.31820194000002</v>
      </c>
      <c r="J58" s="62">
        <v>124.86740158000001</v>
      </c>
      <c r="K58" s="62">
        <v>147.78610187000001</v>
      </c>
      <c r="L58" s="49">
        <v>2082.7399693324332</v>
      </c>
      <c r="M58" s="49">
        <v>2000.4034297331959</v>
      </c>
      <c r="N58" s="49">
        <v>1936.8840447604787</v>
      </c>
      <c r="O58" s="61">
        <v>16.405192740249984</v>
      </c>
      <c r="P58" s="60"/>
      <c r="Q58" s="57" t="s">
        <v>101</v>
      </c>
      <c r="R58" s="9">
        <v>16.331820194000002</v>
      </c>
      <c r="S58" s="69" t="s">
        <v>38</v>
      </c>
      <c r="T58" s="9">
        <v>11.199092116400001</v>
      </c>
      <c r="U58" s="69" t="s">
        <v>10</v>
      </c>
      <c r="V58" s="9">
        <v>12.727</v>
      </c>
      <c r="W58" s="289" t="s">
        <v>126</v>
      </c>
      <c r="X58" s="9">
        <v>83.791829047600004</v>
      </c>
      <c r="Y58" s="64" t="s">
        <v>52</v>
      </c>
      <c r="Z58" s="9">
        <v>39.758121913571436</v>
      </c>
      <c r="AA58" s="69" t="s">
        <v>38</v>
      </c>
      <c r="AB58" s="15" t="s">
        <v>52</v>
      </c>
      <c r="AC58" s="9">
        <v>16.947395238514382</v>
      </c>
      <c r="AD58" s="289" t="s">
        <v>38</v>
      </c>
      <c r="AE58" s="242" t="s">
        <v>82</v>
      </c>
      <c r="AF58" s="9">
        <v>16.744891104019139</v>
      </c>
      <c r="AG58" s="69" t="s">
        <v>38</v>
      </c>
      <c r="AH58" s="69" t="s">
        <v>126</v>
      </c>
      <c r="AI58" s="9">
        <v>16.583226211771187</v>
      </c>
      <c r="AJ58" s="69" t="s">
        <v>10</v>
      </c>
      <c r="AK58" s="242" t="s">
        <v>82</v>
      </c>
      <c r="AL58" s="9">
        <v>15.815915902781317</v>
      </c>
      <c r="AM58" s="69" t="s">
        <v>10</v>
      </c>
      <c r="AN58" s="69" t="s">
        <v>126</v>
      </c>
      <c r="AO58" s="9">
        <v>15.758803487700375</v>
      </c>
      <c r="AP58" s="60"/>
      <c r="AQ58" s="57" t="s">
        <v>101</v>
      </c>
      <c r="AR58" s="9">
        <v>16.945093001760004</v>
      </c>
      <c r="AS58" s="69" t="s">
        <v>38</v>
      </c>
      <c r="AT58" s="9">
        <v>4.5876459253960009</v>
      </c>
      <c r="AU58" s="289" t="s">
        <v>10</v>
      </c>
      <c r="AV58" s="9">
        <v>3.6666666666666998</v>
      </c>
      <c r="AW58" s="15" t="s">
        <v>52</v>
      </c>
      <c r="AX58" s="9">
        <v>130.55388063930002</v>
      </c>
      <c r="AY58" s="289" t="s">
        <v>1509</v>
      </c>
      <c r="AZ58" s="9">
        <v>1.8824830724275561</v>
      </c>
      <c r="BA58" s="289" t="s">
        <v>38</v>
      </c>
      <c r="BB58" s="64" t="s">
        <v>52</v>
      </c>
      <c r="BC58" s="9">
        <v>9.7643405026797279</v>
      </c>
      <c r="BD58" s="289" t="s">
        <v>38</v>
      </c>
      <c r="BE58" s="289" t="s">
        <v>1509</v>
      </c>
      <c r="BF58" s="9">
        <v>9.5954016962612521</v>
      </c>
      <c r="BG58" s="289" t="s">
        <v>38</v>
      </c>
      <c r="BH58" s="69" t="s">
        <v>126</v>
      </c>
      <c r="BI58" s="9">
        <v>9.5420141080857164</v>
      </c>
      <c r="BJ58" s="57" t="s">
        <v>101</v>
      </c>
      <c r="BK58" s="64" t="s">
        <v>52</v>
      </c>
      <c r="BL58" s="9">
        <v>9.4274078006671242</v>
      </c>
      <c r="BM58" s="57" t="s">
        <v>101</v>
      </c>
      <c r="BN58" s="289" t="s">
        <v>1509</v>
      </c>
      <c r="BO58" s="9">
        <v>9.2659898134900018</v>
      </c>
    </row>
    <row r="59" spans="1:67" x14ac:dyDescent="0.45">
      <c r="A59" s="10">
        <v>50</v>
      </c>
      <c r="B59" s="10" t="s">
        <v>1377</v>
      </c>
      <c r="C59" s="80" t="s">
        <v>1892</v>
      </c>
      <c r="D59" s="65"/>
      <c r="E59" s="288" t="s">
        <v>2214</v>
      </c>
      <c r="F59" s="63" t="s">
        <v>2215</v>
      </c>
      <c r="G59" s="290" t="s">
        <v>1992</v>
      </c>
      <c r="H59" s="10"/>
      <c r="I59" s="62">
        <v>97.99720124000001</v>
      </c>
      <c r="J59" s="62">
        <v>73.49790093</v>
      </c>
      <c r="K59" s="62">
        <v>64.804600820000005</v>
      </c>
      <c r="L59" s="49">
        <v>676.32284986002014</v>
      </c>
      <c r="M59" s="49">
        <v>601.72256611409762</v>
      </c>
      <c r="N59" s="49">
        <v>548.01202675829029</v>
      </c>
      <c r="O59" s="61">
        <v>4.4368993425606522</v>
      </c>
      <c r="P59" s="60"/>
      <c r="Q59" s="71" t="s">
        <v>80</v>
      </c>
      <c r="R59" s="9">
        <v>11.583697733920001</v>
      </c>
      <c r="S59" s="71" t="s">
        <v>80</v>
      </c>
      <c r="T59" s="9">
        <v>8.2740698099428585</v>
      </c>
      <c r="U59" s="71" t="s">
        <v>144</v>
      </c>
      <c r="V59" s="9">
        <v>11.667</v>
      </c>
      <c r="W59" s="80" t="s">
        <v>1490</v>
      </c>
      <c r="X59" s="9">
        <v>59.798320744000002</v>
      </c>
      <c r="Y59" s="80" t="s">
        <v>99</v>
      </c>
      <c r="Z59" s="9">
        <v>14.495250612695655</v>
      </c>
      <c r="AA59" s="71" t="s">
        <v>80</v>
      </c>
      <c r="AB59" s="71" t="s">
        <v>99</v>
      </c>
      <c r="AC59" s="9">
        <v>10.586070575059248</v>
      </c>
      <c r="AD59" s="80" t="s">
        <v>80</v>
      </c>
      <c r="AE59" s="80" t="s">
        <v>1490</v>
      </c>
      <c r="AF59" s="9">
        <v>10.259214680569622</v>
      </c>
      <c r="AG59" s="15" t="s">
        <v>1489</v>
      </c>
      <c r="AH59" s="71" t="s">
        <v>99</v>
      </c>
      <c r="AI59" s="9">
        <v>10.232738667917527</v>
      </c>
      <c r="AJ59" s="71" t="s">
        <v>144</v>
      </c>
      <c r="AK59" s="80" t="s">
        <v>99</v>
      </c>
      <c r="AL59" s="9">
        <v>10.102605801599264</v>
      </c>
      <c r="AM59" s="15" t="s">
        <v>1489</v>
      </c>
      <c r="AN59" s="71" t="s">
        <v>1490</v>
      </c>
      <c r="AO59" s="9">
        <v>9.9586549049315085</v>
      </c>
      <c r="AP59" s="60"/>
      <c r="AQ59" s="71" t="s">
        <v>80</v>
      </c>
      <c r="AR59" s="9">
        <v>9.4081598663920012</v>
      </c>
      <c r="AS59" s="15" t="s">
        <v>1489</v>
      </c>
      <c r="AT59" s="9">
        <v>3.5479272322400002</v>
      </c>
      <c r="AU59" s="80" t="s">
        <v>144</v>
      </c>
      <c r="AV59" s="9">
        <v>4.5</v>
      </c>
      <c r="AW59" s="71" t="s">
        <v>1490</v>
      </c>
      <c r="AX59" s="9">
        <v>77.437816967200007</v>
      </c>
      <c r="AY59" s="80" t="s">
        <v>99</v>
      </c>
      <c r="AZ59" s="9">
        <v>1.0760199832990001</v>
      </c>
      <c r="BA59" s="80" t="s">
        <v>144</v>
      </c>
      <c r="BB59" s="80" t="s">
        <v>99</v>
      </c>
      <c r="BC59" s="9">
        <v>5.8325008353739332</v>
      </c>
      <c r="BD59" s="80" t="s">
        <v>144</v>
      </c>
      <c r="BE59" s="80" t="s">
        <v>1490</v>
      </c>
      <c r="BF59" s="9">
        <v>5.6827876534087576</v>
      </c>
      <c r="BG59" s="80" t="s">
        <v>80</v>
      </c>
      <c r="BH59" s="71" t="s">
        <v>99</v>
      </c>
      <c r="BI59" s="9">
        <v>5.6300999164950003</v>
      </c>
      <c r="BJ59" s="71" t="s">
        <v>80</v>
      </c>
      <c r="BK59" s="80" t="s">
        <v>1490</v>
      </c>
      <c r="BL59" s="9">
        <v>5.5328843751974199</v>
      </c>
      <c r="BM59" s="15" t="s">
        <v>1489</v>
      </c>
      <c r="BN59" s="80" t="s">
        <v>99</v>
      </c>
      <c r="BO59" s="9">
        <v>5.4285401893695235</v>
      </c>
    </row>
    <row r="60" spans="1:67" x14ac:dyDescent="0.45">
      <c r="A60" s="10">
        <v>50</v>
      </c>
      <c r="B60" s="10" t="s">
        <v>1378</v>
      </c>
      <c r="C60" s="80" t="s">
        <v>2119</v>
      </c>
      <c r="D60" s="65"/>
      <c r="E60" s="58" t="s">
        <v>2232</v>
      </c>
      <c r="F60" s="64" t="s">
        <v>2233</v>
      </c>
      <c r="G60" s="56" t="s">
        <v>2123</v>
      </c>
      <c r="H60" s="63" t="s">
        <v>1971</v>
      </c>
      <c r="I60" s="62">
        <v>97.20690123</v>
      </c>
      <c r="J60" s="62">
        <v>75.868800960000002</v>
      </c>
      <c r="K60" s="62">
        <v>64.804600820000005</v>
      </c>
      <c r="L60" s="49">
        <v>681.60321306570711</v>
      </c>
      <c r="M60" s="49">
        <v>611.28551672546871</v>
      </c>
      <c r="N60" s="49">
        <v>560.29156941634596</v>
      </c>
      <c r="O60" s="61">
        <v>4.5699320925727172</v>
      </c>
      <c r="P60" s="60"/>
      <c r="Q60" s="71" t="s">
        <v>80</v>
      </c>
      <c r="R60" s="9">
        <v>11.49834533284</v>
      </c>
      <c r="S60" s="71" t="s">
        <v>80</v>
      </c>
      <c r="T60" s="9">
        <v>8.2131038091714288</v>
      </c>
      <c r="U60" s="53" t="s">
        <v>56</v>
      </c>
      <c r="V60" s="9">
        <v>10</v>
      </c>
      <c r="W60" s="80" t="s">
        <v>1490</v>
      </c>
      <c r="X60" s="9">
        <v>59.324140737999997</v>
      </c>
      <c r="Y60" s="80" t="s">
        <v>99</v>
      </c>
      <c r="Z60" s="9">
        <v>14.381859741695651</v>
      </c>
      <c r="AA60" s="53" t="s">
        <v>56</v>
      </c>
      <c r="AB60" s="71" t="s">
        <v>99</v>
      </c>
      <c r="AC60" s="9">
        <v>10.661343629990702</v>
      </c>
      <c r="AD60" s="80" t="s">
        <v>80</v>
      </c>
      <c r="AE60" s="80" t="s">
        <v>99</v>
      </c>
      <c r="AF60" s="9">
        <v>10.505621723053858</v>
      </c>
      <c r="AG60" s="53" t="s">
        <v>56</v>
      </c>
      <c r="AH60" s="71" t="s">
        <v>1490</v>
      </c>
      <c r="AI60" s="9">
        <v>10.288152402326952</v>
      </c>
      <c r="AJ60" s="71" t="s">
        <v>80</v>
      </c>
      <c r="AK60" s="80" t="s">
        <v>1490</v>
      </c>
      <c r="AL60" s="9">
        <v>10.180434774509495</v>
      </c>
      <c r="AM60" s="53" t="s">
        <v>56</v>
      </c>
      <c r="AN60" s="52" t="s">
        <v>1488</v>
      </c>
      <c r="AO60" s="9">
        <v>9.2065064628135893</v>
      </c>
      <c r="AP60" s="60"/>
      <c r="AQ60" s="71" t="s">
        <v>80</v>
      </c>
      <c r="AR60" s="9">
        <v>9.3403521255340003</v>
      </c>
      <c r="AS60" s="71" t="s">
        <v>80</v>
      </c>
      <c r="AT60" s="9">
        <v>3.1134507085113334</v>
      </c>
      <c r="AU60" s="59" t="s">
        <v>56</v>
      </c>
      <c r="AV60" s="9">
        <v>3</v>
      </c>
      <c r="AW60" s="71" t="s">
        <v>1490</v>
      </c>
      <c r="AX60" s="9">
        <v>76.821382959399998</v>
      </c>
      <c r="AY60" s="80" t="s">
        <v>99</v>
      </c>
      <c r="AZ60" s="9">
        <v>1.0675440156917499</v>
      </c>
      <c r="BA60" s="80" t="s">
        <v>80</v>
      </c>
      <c r="BB60" s="80" t="s">
        <v>99</v>
      </c>
      <c r="BC60" s="9">
        <v>5.5877200784587497</v>
      </c>
      <c r="BD60" s="80" t="s">
        <v>80</v>
      </c>
      <c r="BE60" s="80" t="s">
        <v>1490</v>
      </c>
      <c r="BF60" s="9">
        <v>5.4911259424109682</v>
      </c>
      <c r="BG60" s="59" t="s">
        <v>56</v>
      </c>
      <c r="BH60" s="71" t="s">
        <v>99</v>
      </c>
      <c r="BI60" s="9">
        <v>5.2075968568002331</v>
      </c>
      <c r="BJ60" s="53" t="s">
        <v>56</v>
      </c>
      <c r="BK60" s="80" t="s">
        <v>1490</v>
      </c>
      <c r="BL60" s="9">
        <v>5.0856254794819273</v>
      </c>
      <c r="BM60" s="71" t="s">
        <v>80</v>
      </c>
      <c r="BN60" s="56" t="s">
        <v>1488</v>
      </c>
      <c r="BO60" s="9">
        <v>4.9056077021768081</v>
      </c>
    </row>
    <row r="61" spans="1:67" x14ac:dyDescent="0.45">
      <c r="A61" s="10">
        <v>51</v>
      </c>
      <c r="B61" s="10" t="s">
        <v>1373</v>
      </c>
      <c r="C61" s="80" t="s">
        <v>1892</v>
      </c>
      <c r="D61" s="65"/>
      <c r="E61" s="288" t="s">
        <v>2214</v>
      </c>
      <c r="F61" s="63" t="s">
        <v>2215</v>
      </c>
      <c r="G61" s="290" t="s">
        <v>1992</v>
      </c>
      <c r="H61" s="10"/>
      <c r="I61" s="62">
        <v>143.83460182000002</v>
      </c>
      <c r="J61" s="62">
        <v>119.33530151000001</v>
      </c>
      <c r="K61" s="62">
        <v>99.577801260000001</v>
      </c>
      <c r="L61" s="49">
        <v>1567.9388065759158</v>
      </c>
      <c r="M61" s="49">
        <v>1429.5408226764107</v>
      </c>
      <c r="N61" s="49">
        <v>1327.67116759798</v>
      </c>
      <c r="O61" s="61">
        <v>10.616253164743767</v>
      </c>
      <c r="P61" s="60"/>
      <c r="Q61" s="71" t="s">
        <v>80</v>
      </c>
      <c r="R61" s="9">
        <v>16.534136996560001</v>
      </c>
      <c r="S61" s="71" t="s">
        <v>80</v>
      </c>
      <c r="T61" s="9">
        <v>11.810097854685715</v>
      </c>
      <c r="U61" s="71" t="s">
        <v>144</v>
      </c>
      <c r="V61" s="9">
        <v>11.667</v>
      </c>
      <c r="W61" s="80" t="s">
        <v>79</v>
      </c>
      <c r="X61" s="9">
        <v>121.82106552880001</v>
      </c>
      <c r="Y61" s="80" t="s">
        <v>79</v>
      </c>
      <c r="Z61" s="9">
        <v>33.839184869111115</v>
      </c>
      <c r="AA61" s="71" t="s">
        <v>80</v>
      </c>
      <c r="AB61" s="71" t="s">
        <v>79</v>
      </c>
      <c r="AC61" s="9">
        <v>16.705450524558028</v>
      </c>
      <c r="AD61" s="80" t="s">
        <v>144</v>
      </c>
      <c r="AE61" s="80" t="s">
        <v>79</v>
      </c>
      <c r="AF61" s="9">
        <v>15.995764789507938</v>
      </c>
      <c r="AG61" s="67" t="s">
        <v>266</v>
      </c>
      <c r="AH61" s="71" t="s">
        <v>79</v>
      </c>
      <c r="AI61" s="9">
        <v>15.768961366685041</v>
      </c>
      <c r="AJ61" s="71" t="s">
        <v>80</v>
      </c>
      <c r="AK61" s="80" t="s">
        <v>99</v>
      </c>
      <c r="AL61" s="9">
        <v>15.252103991371634</v>
      </c>
      <c r="AM61" s="71" t="s">
        <v>80</v>
      </c>
      <c r="AN61" s="52" t="s">
        <v>87</v>
      </c>
      <c r="AO61" s="9">
        <v>14.880841199935574</v>
      </c>
      <c r="AP61" s="60"/>
      <c r="AQ61" s="71" t="s">
        <v>80</v>
      </c>
      <c r="AR61" s="9">
        <v>13.341008836156002</v>
      </c>
      <c r="AS61" s="71" t="s">
        <v>80</v>
      </c>
      <c r="AT61" s="9">
        <v>4.4470029453853339</v>
      </c>
      <c r="AU61" s="80" t="s">
        <v>144</v>
      </c>
      <c r="AV61" s="9">
        <v>4.5</v>
      </c>
      <c r="AW61" s="71" t="s">
        <v>79</v>
      </c>
      <c r="AX61" s="9">
        <v>135.62918730352001</v>
      </c>
      <c r="AY61" s="80" t="s">
        <v>79</v>
      </c>
      <c r="AZ61" s="9">
        <v>2.0866028815926154</v>
      </c>
      <c r="BA61" s="80" t="s">
        <v>144</v>
      </c>
      <c r="BB61" s="80" t="s">
        <v>79</v>
      </c>
      <c r="BC61" s="9">
        <v>10.8232742093518</v>
      </c>
      <c r="BD61" s="76" t="s">
        <v>266</v>
      </c>
      <c r="BE61" s="80" t="s">
        <v>79</v>
      </c>
      <c r="BF61" s="9">
        <v>9.6222985946670807</v>
      </c>
      <c r="BG61" s="80" t="s">
        <v>80</v>
      </c>
      <c r="BH61" s="71" t="s">
        <v>79</v>
      </c>
      <c r="BI61" s="9">
        <v>9.6167442008783262</v>
      </c>
      <c r="BJ61" s="71" t="s">
        <v>144</v>
      </c>
      <c r="BK61" s="56" t="s">
        <v>87</v>
      </c>
      <c r="BL61" s="9">
        <v>9.1642651528515984</v>
      </c>
      <c r="BM61" s="71" t="s">
        <v>80</v>
      </c>
      <c r="BN61" s="56" t="s">
        <v>87</v>
      </c>
      <c r="BO61" s="9">
        <v>8.6109561586854344</v>
      </c>
    </row>
    <row r="62" spans="1:67" x14ac:dyDescent="0.45">
      <c r="A62" s="10">
        <v>51</v>
      </c>
      <c r="B62" s="10" t="s">
        <v>1375</v>
      </c>
      <c r="C62" s="80" t="s">
        <v>2119</v>
      </c>
      <c r="D62" s="65"/>
      <c r="E62" s="58" t="s">
        <v>2232</v>
      </c>
      <c r="F62" s="64" t="s">
        <v>2233</v>
      </c>
      <c r="G62" s="56" t="s">
        <v>2123</v>
      </c>
      <c r="H62" s="63" t="s">
        <v>1971</v>
      </c>
      <c r="I62" s="62">
        <v>170.70480216000001</v>
      </c>
      <c r="J62" s="62">
        <v>124.07710157000001</v>
      </c>
      <c r="K62" s="62">
        <v>99.577801260000001</v>
      </c>
      <c r="L62" s="49">
        <v>1897.4608537163217</v>
      </c>
      <c r="M62" s="49">
        <v>1644.6239382419819</v>
      </c>
      <c r="N62" s="49">
        <v>1466.8362472565655</v>
      </c>
      <c r="O62" s="61">
        <v>10.991528022230499</v>
      </c>
      <c r="P62" s="60"/>
      <c r="Q62" s="71" t="s">
        <v>80</v>
      </c>
      <c r="R62" s="9">
        <v>19.43611863328</v>
      </c>
      <c r="S62" s="71" t="s">
        <v>80</v>
      </c>
      <c r="T62" s="9">
        <v>13.882941880914286</v>
      </c>
      <c r="U62" s="53" t="s">
        <v>56</v>
      </c>
      <c r="V62" s="9">
        <v>10</v>
      </c>
      <c r="W62" s="80" t="s">
        <v>79</v>
      </c>
      <c r="X62" s="9">
        <v>144.39203381440001</v>
      </c>
      <c r="Y62" s="80" t="s">
        <v>79</v>
      </c>
      <c r="Z62" s="9">
        <v>40.108898281777776</v>
      </c>
      <c r="AA62" s="53" t="s">
        <v>56</v>
      </c>
      <c r="AB62" s="71" t="s">
        <v>79</v>
      </c>
      <c r="AC62" s="9">
        <v>20.02124052266667</v>
      </c>
      <c r="AD62" s="80" t="s">
        <v>80</v>
      </c>
      <c r="AE62" s="80" t="s">
        <v>79</v>
      </c>
      <c r="AF62" s="9">
        <v>19.710932192217285</v>
      </c>
      <c r="AG62" s="53" t="s">
        <v>56</v>
      </c>
      <c r="AH62" s="53" t="s">
        <v>184</v>
      </c>
      <c r="AI62" s="9">
        <v>18.568687921888202</v>
      </c>
      <c r="AJ62" s="71" t="s">
        <v>80</v>
      </c>
      <c r="AK62" s="59" t="s">
        <v>184</v>
      </c>
      <c r="AL62" s="9">
        <v>18.547959881413796</v>
      </c>
      <c r="AM62" s="71" t="s">
        <v>80</v>
      </c>
      <c r="AN62" s="71" t="s">
        <v>99</v>
      </c>
      <c r="AO62" s="9">
        <v>17.987364959554757</v>
      </c>
      <c r="AP62" s="60"/>
      <c r="AQ62" s="71" t="s">
        <v>80</v>
      </c>
      <c r="AR62" s="9">
        <v>15.646472025328002</v>
      </c>
      <c r="AS62" s="71" t="s">
        <v>80</v>
      </c>
      <c r="AT62" s="9">
        <v>5.2154906751093337</v>
      </c>
      <c r="AU62" s="59" t="s">
        <v>56</v>
      </c>
      <c r="AV62" s="9">
        <v>3</v>
      </c>
      <c r="AW62" s="71" t="s">
        <v>79</v>
      </c>
      <c r="AX62" s="9">
        <v>160.77969482176002</v>
      </c>
      <c r="AY62" s="80" t="s">
        <v>79</v>
      </c>
      <c r="AZ62" s="9">
        <v>2.4735337664886154</v>
      </c>
      <c r="BA62" s="80" t="s">
        <v>80</v>
      </c>
      <c r="BB62" s="80" t="s">
        <v>79</v>
      </c>
      <c r="BC62" s="9">
        <v>11.346099705519213</v>
      </c>
      <c r="BD62" s="59" t="s">
        <v>56</v>
      </c>
      <c r="BE62" s="80" t="s">
        <v>79</v>
      </c>
      <c r="BF62" s="9">
        <v>10.753050311810002</v>
      </c>
      <c r="BG62" s="80" t="s">
        <v>80</v>
      </c>
      <c r="BH62" s="53" t="s">
        <v>184</v>
      </c>
      <c r="BI62" s="9">
        <v>9.7212796019068364</v>
      </c>
      <c r="BJ62" s="71" t="s">
        <v>80</v>
      </c>
      <c r="BK62" s="80" t="s">
        <v>99</v>
      </c>
      <c r="BL62" s="9">
        <v>9.5290450158300004</v>
      </c>
      <c r="BM62" s="53" t="s">
        <v>56</v>
      </c>
      <c r="BN62" s="59" t="s">
        <v>184</v>
      </c>
      <c r="BO62" s="9">
        <v>8.9443707178128307</v>
      </c>
    </row>
    <row r="63" spans="1:67" x14ac:dyDescent="0.45">
      <c r="A63" s="10">
        <v>52</v>
      </c>
      <c r="B63" s="10" t="s">
        <v>1368</v>
      </c>
      <c r="C63" s="64" t="s">
        <v>1889</v>
      </c>
      <c r="D63" s="65"/>
      <c r="E63" s="58" t="s">
        <v>1903</v>
      </c>
      <c r="F63" s="77"/>
      <c r="G63" s="77" t="s">
        <v>1888</v>
      </c>
      <c r="H63" s="10"/>
      <c r="I63" s="62">
        <v>84.562101070000011</v>
      </c>
      <c r="J63" s="62">
        <v>73.49790093</v>
      </c>
      <c r="K63" s="62">
        <v>106.69050135000001</v>
      </c>
      <c r="L63" s="49">
        <v>748.8177167163127</v>
      </c>
      <c r="M63" s="49">
        <v>760.41551854742579</v>
      </c>
      <c r="N63" s="49">
        <v>769.82295961110231</v>
      </c>
      <c r="O63" s="61">
        <v>7.3046513566547322</v>
      </c>
      <c r="P63" s="60"/>
      <c r="Q63" s="15" t="s">
        <v>1489</v>
      </c>
      <c r="R63" s="9">
        <v>4.04423563852</v>
      </c>
      <c r="S63" s="15" t="s">
        <v>1489</v>
      </c>
      <c r="T63" s="9">
        <v>8.08847127704</v>
      </c>
      <c r="U63" s="67" t="s">
        <v>2380</v>
      </c>
      <c r="V63" s="9">
        <v>8</v>
      </c>
      <c r="W63" s="76" t="s">
        <v>160</v>
      </c>
      <c r="X63" s="9">
        <v>34.824840428000002</v>
      </c>
      <c r="Y63" s="64" t="s">
        <v>52</v>
      </c>
      <c r="Z63" s="9">
        <v>26.797201749571432</v>
      </c>
      <c r="AA63" s="15" t="s">
        <v>1489</v>
      </c>
      <c r="AB63" s="15" t="s">
        <v>52</v>
      </c>
      <c r="AC63" s="9">
        <v>10.779453057335616</v>
      </c>
      <c r="AD63" s="76" t="s">
        <v>66</v>
      </c>
      <c r="AE63" s="64" t="s">
        <v>52</v>
      </c>
      <c r="AF63" s="9">
        <v>9.9106643477123288</v>
      </c>
      <c r="AG63" s="15" t="s">
        <v>1489</v>
      </c>
      <c r="AH63" s="15" t="s">
        <v>1480</v>
      </c>
      <c r="AI63" s="9">
        <v>9.9017462596703307</v>
      </c>
      <c r="AJ63" s="15" t="s">
        <v>1489</v>
      </c>
      <c r="AK63" s="76" t="s">
        <v>30</v>
      </c>
      <c r="AL63" s="9">
        <v>9.8363249522424248</v>
      </c>
      <c r="AM63" s="15" t="s">
        <v>1489</v>
      </c>
      <c r="AN63" s="67" t="s">
        <v>160</v>
      </c>
      <c r="AO63" s="9">
        <v>9.2300309091351362</v>
      </c>
      <c r="AP63" s="60"/>
      <c r="AQ63" s="15" t="s">
        <v>1489</v>
      </c>
      <c r="AR63" s="9">
        <v>3.6383375533840003</v>
      </c>
      <c r="AS63" s="15" t="s">
        <v>1489</v>
      </c>
      <c r="AT63" s="9">
        <v>3.6383375533840003</v>
      </c>
      <c r="AU63" s="76" t="s">
        <v>2456</v>
      </c>
      <c r="AV63" s="9">
        <v>2</v>
      </c>
      <c r="AW63" s="15" t="s">
        <v>52</v>
      </c>
      <c r="AX63" s="9">
        <v>86.74597048498002</v>
      </c>
      <c r="AY63" s="64" t="s">
        <v>52</v>
      </c>
      <c r="AZ63" s="9">
        <v>1.2392281497854289</v>
      </c>
      <c r="BA63" s="64" t="s">
        <v>1489</v>
      </c>
      <c r="BB63" s="64" t="s">
        <v>52</v>
      </c>
      <c r="BC63" s="9">
        <v>5.9468829125950009</v>
      </c>
      <c r="BD63" s="64" t="s">
        <v>1489</v>
      </c>
      <c r="BE63" s="64" t="s">
        <v>1480</v>
      </c>
      <c r="BF63" s="9">
        <v>5.6349173235124326</v>
      </c>
      <c r="BG63" s="76" t="s">
        <v>66</v>
      </c>
      <c r="BH63" s="15" t="s">
        <v>52</v>
      </c>
      <c r="BI63" s="9">
        <v>5.5193745127411127</v>
      </c>
      <c r="BJ63" s="15" t="s">
        <v>1489</v>
      </c>
      <c r="BK63" s="76" t="s">
        <v>160</v>
      </c>
      <c r="BL63" s="9">
        <v>5.2281050535000011</v>
      </c>
      <c r="BM63" s="67" t="s">
        <v>66</v>
      </c>
      <c r="BN63" s="64" t="s">
        <v>1480</v>
      </c>
      <c r="BO63" s="9">
        <v>5.218963204735676</v>
      </c>
    </row>
    <row r="64" spans="1:67" x14ac:dyDescent="0.45">
      <c r="A64" s="10">
        <v>52</v>
      </c>
      <c r="B64" s="10" t="s">
        <v>1370</v>
      </c>
      <c r="C64" s="76" t="s">
        <v>1891</v>
      </c>
      <c r="D64" s="65"/>
      <c r="E64" s="58" t="s">
        <v>2234</v>
      </c>
      <c r="F64" s="77" t="s">
        <v>2167</v>
      </c>
      <c r="G64" s="242" t="s">
        <v>1925</v>
      </c>
      <c r="H64" s="10"/>
      <c r="I64" s="62">
        <v>90.09420114000001</v>
      </c>
      <c r="J64" s="62">
        <v>73.49790093</v>
      </c>
      <c r="K64" s="62">
        <v>106.69050135000001</v>
      </c>
      <c r="L64" s="49">
        <v>797.80579164167898</v>
      </c>
      <c r="M64" s="49">
        <v>793.22858066013714</v>
      </c>
      <c r="N64" s="49">
        <v>789.58572675267965</v>
      </c>
      <c r="O64" s="61">
        <v>7.3046513566547322</v>
      </c>
      <c r="P64" s="60"/>
      <c r="Q64" s="67" t="s">
        <v>66</v>
      </c>
      <c r="R64" s="9">
        <v>4.2433912410400003</v>
      </c>
      <c r="S64" s="67" t="s">
        <v>66</v>
      </c>
      <c r="T64" s="9">
        <v>8.4867824820800006</v>
      </c>
      <c r="U64" s="67" t="s">
        <v>2380</v>
      </c>
      <c r="V64" s="9">
        <v>8</v>
      </c>
      <c r="W64" s="76" t="s">
        <v>160</v>
      </c>
      <c r="X64" s="9">
        <v>44.245216547200002</v>
      </c>
      <c r="Y64" s="76" t="s">
        <v>30</v>
      </c>
      <c r="Z64" s="9">
        <v>19.4197822394</v>
      </c>
      <c r="AA64" s="67" t="s">
        <v>66</v>
      </c>
      <c r="AB64" s="67" t="s">
        <v>30</v>
      </c>
      <c r="AC64" s="9">
        <v>11.137206665672727</v>
      </c>
      <c r="AD64" s="76" t="s">
        <v>66</v>
      </c>
      <c r="AE64" s="76" t="s">
        <v>160</v>
      </c>
      <c r="AF64" s="9">
        <v>10.517579141643244</v>
      </c>
      <c r="AG64" s="15" t="s">
        <v>1489</v>
      </c>
      <c r="AH64" s="67" t="s">
        <v>30</v>
      </c>
      <c r="AI64" s="9">
        <v>10.318168473490909</v>
      </c>
      <c r="AJ64" s="67" t="s">
        <v>66</v>
      </c>
      <c r="AK64" s="76" t="s">
        <v>1491</v>
      </c>
      <c r="AL64" s="9">
        <v>9.9565215734031423</v>
      </c>
      <c r="AM64" s="15" t="s">
        <v>1489</v>
      </c>
      <c r="AN64" s="67" t="s">
        <v>160</v>
      </c>
      <c r="AO64" s="9">
        <v>9.7870856188864863</v>
      </c>
      <c r="AP64" s="60"/>
      <c r="AQ64" s="67" t="s">
        <v>66</v>
      </c>
      <c r="AR64" s="9">
        <v>3.8109390755680006</v>
      </c>
      <c r="AS64" s="67" t="s">
        <v>66</v>
      </c>
      <c r="AT64" s="9">
        <v>3.8109390755680006</v>
      </c>
      <c r="AU64" s="76" t="s">
        <v>2456</v>
      </c>
      <c r="AV64" s="9">
        <v>2</v>
      </c>
      <c r="AW64" s="67" t="s">
        <v>160</v>
      </c>
      <c r="AX64" s="9">
        <v>57.218781511360007</v>
      </c>
      <c r="AY64" s="76" t="s">
        <v>160</v>
      </c>
      <c r="AZ64" s="9">
        <v>1.1443756302272001</v>
      </c>
      <c r="BA64" s="76" t="s">
        <v>66</v>
      </c>
      <c r="BB64" s="76" t="s">
        <v>160</v>
      </c>
      <c r="BC64" s="9">
        <v>5.8650868615600009</v>
      </c>
      <c r="BD64" s="76" t="s">
        <v>66</v>
      </c>
      <c r="BE64" s="76" t="s">
        <v>30</v>
      </c>
      <c r="BF64" s="9">
        <v>5.7845771499029794</v>
      </c>
      <c r="BG64" s="76" t="s">
        <v>66</v>
      </c>
      <c r="BH64" s="67" t="s">
        <v>1491</v>
      </c>
      <c r="BI64" s="9">
        <v>5.5582795820021627</v>
      </c>
      <c r="BJ64" s="15" t="s">
        <v>1489</v>
      </c>
      <c r="BK64" s="76" t="s">
        <v>160</v>
      </c>
      <c r="BL64" s="9">
        <v>5.414615855860001</v>
      </c>
      <c r="BM64" s="15" t="s">
        <v>1489</v>
      </c>
      <c r="BN64" s="76" t="s">
        <v>30</v>
      </c>
      <c r="BO64" s="9">
        <v>5.3360230420995745</v>
      </c>
    </row>
    <row r="65" spans="1:67" x14ac:dyDescent="0.45">
      <c r="A65" s="10">
        <v>53</v>
      </c>
      <c r="B65" s="10" t="s">
        <v>85</v>
      </c>
      <c r="C65" s="64" t="s">
        <v>1889</v>
      </c>
      <c r="D65" s="65"/>
      <c r="E65" s="58" t="s">
        <v>1903</v>
      </c>
      <c r="F65" s="77"/>
      <c r="G65" s="77" t="s">
        <v>1888</v>
      </c>
      <c r="H65" s="10"/>
      <c r="I65" s="62">
        <v>130.39950165000002</v>
      </c>
      <c r="J65" s="62">
        <v>119.33530151000001</v>
      </c>
      <c r="K65" s="62">
        <v>140.67340178000001</v>
      </c>
      <c r="L65" s="49">
        <v>1689.531891421469</v>
      </c>
      <c r="M65" s="49">
        <v>1685.9236543888001</v>
      </c>
      <c r="N65" s="49">
        <v>1683.0426138056657</v>
      </c>
      <c r="O65" s="61">
        <v>14.997563994638023</v>
      </c>
      <c r="P65" s="60"/>
      <c r="Q65" s="67" t="s">
        <v>14</v>
      </c>
      <c r="R65" s="9">
        <v>7.5199750825000011</v>
      </c>
      <c r="S65" s="15" t="s">
        <v>1489</v>
      </c>
      <c r="T65" s="9">
        <v>11.388764118800001</v>
      </c>
      <c r="U65" s="67" t="s">
        <v>14</v>
      </c>
      <c r="V65" s="9">
        <v>10</v>
      </c>
      <c r="W65" s="65" t="s">
        <v>84</v>
      </c>
      <c r="X65" s="9">
        <v>59.679775742500006</v>
      </c>
      <c r="Y65" s="64" t="s">
        <v>52</v>
      </c>
      <c r="Z65" s="9">
        <v>40.548421923571439</v>
      </c>
      <c r="AA65" s="15" t="s">
        <v>1489</v>
      </c>
      <c r="AB65" s="15" t="s">
        <v>52</v>
      </c>
      <c r="AC65" s="9">
        <v>15.582961474280824</v>
      </c>
      <c r="AD65" s="64" t="s">
        <v>1489</v>
      </c>
      <c r="AE65" s="65" t="s">
        <v>84</v>
      </c>
      <c r="AF65" s="9">
        <v>14.30159032622951</v>
      </c>
      <c r="AG65" s="15" t="s">
        <v>1489</v>
      </c>
      <c r="AH65" s="67" t="s">
        <v>30</v>
      </c>
      <c r="AI65" s="9">
        <v>14.281163796363639</v>
      </c>
      <c r="AJ65" s="67" t="s">
        <v>14</v>
      </c>
      <c r="AK65" s="64" t="s">
        <v>52</v>
      </c>
      <c r="AL65" s="9">
        <v>13.942724358177227</v>
      </c>
      <c r="AM65" s="15" t="s">
        <v>1489</v>
      </c>
      <c r="AN65" s="52" t="s">
        <v>1520</v>
      </c>
      <c r="AO65" s="9">
        <v>13.589024743442623</v>
      </c>
      <c r="AP65" s="60"/>
      <c r="AQ65" s="67" t="s">
        <v>14</v>
      </c>
      <c r="AR65" s="9">
        <v>6.0855805643500007</v>
      </c>
      <c r="AS65" s="15" t="s">
        <v>1489</v>
      </c>
      <c r="AT65" s="9">
        <v>5.0684644514800006</v>
      </c>
      <c r="AU65" s="76" t="s">
        <v>14</v>
      </c>
      <c r="AV65" s="9">
        <v>3</v>
      </c>
      <c r="AW65" s="15" t="s">
        <v>52</v>
      </c>
      <c r="AX65" s="9">
        <v>133.22509467310002</v>
      </c>
      <c r="AY65" s="64" t="s">
        <v>52</v>
      </c>
      <c r="AZ65" s="9">
        <v>1.903215638187143</v>
      </c>
      <c r="BA65" s="64" t="s">
        <v>1489</v>
      </c>
      <c r="BB65" s="64" t="s">
        <v>52</v>
      </c>
      <c r="BC65" s="9">
        <v>8.6283708465250015</v>
      </c>
      <c r="BD65" s="76" t="s">
        <v>14</v>
      </c>
      <c r="BE65" s="64" t="s">
        <v>52</v>
      </c>
      <c r="BF65" s="9">
        <v>8.3927479968705487</v>
      </c>
      <c r="BG65" s="64" t="s">
        <v>1489</v>
      </c>
      <c r="BH65" s="67" t="s">
        <v>30</v>
      </c>
      <c r="BI65" s="9">
        <v>7.4200946131510657</v>
      </c>
      <c r="BJ65" s="15" t="s">
        <v>1489</v>
      </c>
      <c r="BK65" s="65" t="s">
        <v>84</v>
      </c>
      <c r="BL65" s="9">
        <v>7.3979884519241947</v>
      </c>
      <c r="BM65" s="15" t="s">
        <v>1489</v>
      </c>
      <c r="BN65" s="76" t="s">
        <v>1491</v>
      </c>
      <c r="BO65" s="9">
        <v>7.1393495101162179</v>
      </c>
    </row>
    <row r="66" spans="1:67" x14ac:dyDescent="0.45">
      <c r="A66" s="10">
        <v>53</v>
      </c>
      <c r="B66" s="10" t="s">
        <v>1367</v>
      </c>
      <c r="C66" s="76" t="s">
        <v>1891</v>
      </c>
      <c r="D66" s="65"/>
      <c r="E66" s="58" t="s">
        <v>2234</v>
      </c>
      <c r="F66" s="77" t="s">
        <v>2167</v>
      </c>
      <c r="G66" s="242" t="s">
        <v>1925</v>
      </c>
      <c r="H66" s="10"/>
      <c r="I66" s="62">
        <v>136.72190173000001</v>
      </c>
      <c r="J66" s="62">
        <v>119.33530151000001</v>
      </c>
      <c r="K66" s="62">
        <v>140.67340178000001</v>
      </c>
      <c r="L66" s="49">
        <v>1771.448589187358</v>
      </c>
      <c r="M66" s="49">
        <v>1739.9870259674731</v>
      </c>
      <c r="N66" s="49">
        <v>1715.2205677359295</v>
      </c>
      <c r="O66" s="61">
        <v>14.997563994638023</v>
      </c>
      <c r="P66" s="60"/>
      <c r="Q66" s="67" t="s">
        <v>14</v>
      </c>
      <c r="R66" s="9">
        <v>9.2033141038000004</v>
      </c>
      <c r="S66" s="67" t="s">
        <v>14</v>
      </c>
      <c r="T66" s="9">
        <v>10.225904559777778</v>
      </c>
      <c r="U66" s="67" t="s">
        <v>14</v>
      </c>
      <c r="V66" s="9">
        <v>10</v>
      </c>
      <c r="W66" s="76" t="s">
        <v>160</v>
      </c>
      <c r="X66" s="9">
        <v>66.626512830400003</v>
      </c>
      <c r="Y66" s="76" t="s">
        <v>30</v>
      </c>
      <c r="Z66" s="9">
        <v>29.211599363300003</v>
      </c>
      <c r="AA66" s="67" t="s">
        <v>14</v>
      </c>
      <c r="AB66" s="67" t="s">
        <v>30</v>
      </c>
      <c r="AC66" s="9">
        <v>15.650388789355556</v>
      </c>
      <c r="AD66" s="64" t="s">
        <v>1489</v>
      </c>
      <c r="AE66" s="76" t="s">
        <v>30</v>
      </c>
      <c r="AF66" s="9">
        <v>14.811383257618184</v>
      </c>
      <c r="AG66" s="67" t="s">
        <v>14</v>
      </c>
      <c r="AH66" s="67" t="s">
        <v>160</v>
      </c>
      <c r="AI66" s="9">
        <v>14.719504453661111</v>
      </c>
      <c r="AJ66" s="67" t="s">
        <v>14</v>
      </c>
      <c r="AK66" s="65" t="s">
        <v>84</v>
      </c>
      <c r="AL66" s="9">
        <v>14.386630199669481</v>
      </c>
      <c r="AM66" s="15" t="s">
        <v>1489</v>
      </c>
      <c r="AN66" s="67" t="s">
        <v>160</v>
      </c>
      <c r="AO66" s="9">
        <v>14.096997403151351</v>
      </c>
      <c r="AP66" s="60"/>
      <c r="AQ66" s="67" t="s">
        <v>14</v>
      </c>
      <c r="AR66" s="9">
        <v>7.3985850009640011</v>
      </c>
      <c r="AS66" s="15" t="s">
        <v>1489</v>
      </c>
      <c r="AT66" s="9">
        <v>4.5547694449800007</v>
      </c>
      <c r="AU66" s="76" t="s">
        <v>14</v>
      </c>
      <c r="AV66" s="9">
        <v>3</v>
      </c>
      <c r="AW66" s="67" t="s">
        <v>160</v>
      </c>
      <c r="AX66" s="9">
        <v>86.31446667952001</v>
      </c>
      <c r="AY66" s="76" t="s">
        <v>160</v>
      </c>
      <c r="AZ66" s="9">
        <v>1.7262893335904002</v>
      </c>
      <c r="BA66" s="76" t="s">
        <v>14</v>
      </c>
      <c r="BB66" s="76" t="s">
        <v>160</v>
      </c>
      <c r="BC66" s="9">
        <v>8.3756231143898123</v>
      </c>
      <c r="BD66" s="76" t="s">
        <v>14</v>
      </c>
      <c r="BE66" s="76" t="s">
        <v>30</v>
      </c>
      <c r="BF66" s="9">
        <v>8.1962216157381267</v>
      </c>
      <c r="BG66" s="64" t="s">
        <v>1489</v>
      </c>
      <c r="BH66" s="67" t="s">
        <v>160</v>
      </c>
      <c r="BI66" s="9">
        <v>7.6993731847700007</v>
      </c>
      <c r="BJ66" s="15" t="s">
        <v>1489</v>
      </c>
      <c r="BK66" s="76" t="s">
        <v>30</v>
      </c>
      <c r="BL66" s="9">
        <v>7.5801051428353201</v>
      </c>
      <c r="BM66" s="67" t="s">
        <v>14</v>
      </c>
      <c r="BN66" s="65" t="s">
        <v>84</v>
      </c>
      <c r="BO66" s="9">
        <v>7.3794363105566685</v>
      </c>
    </row>
    <row r="67" spans="1:67" x14ac:dyDescent="0.45">
      <c r="A67" s="10">
        <v>54</v>
      </c>
      <c r="B67" s="10" t="s">
        <v>1364</v>
      </c>
      <c r="C67" s="288" t="s">
        <v>1993</v>
      </c>
      <c r="D67" s="65"/>
      <c r="E67" s="290" t="s">
        <v>2201</v>
      </c>
      <c r="F67" s="59" t="s">
        <v>2202</v>
      </c>
      <c r="G67" s="242"/>
      <c r="H67" s="10"/>
      <c r="I67" s="62">
        <v>108.27110137000001</v>
      </c>
      <c r="J67" s="62">
        <v>86.933001100000013</v>
      </c>
      <c r="K67" s="62">
        <v>120.12560152</v>
      </c>
      <c r="L67" s="49">
        <v>1106.4267791509435</v>
      </c>
      <c r="M67" s="49">
        <v>1085.3134914079562</v>
      </c>
      <c r="N67" s="49">
        <v>1068.7133148898581</v>
      </c>
      <c r="O67" s="61">
        <v>9.6076566251166362</v>
      </c>
      <c r="P67" s="60"/>
      <c r="Q67" s="57" t="s">
        <v>95</v>
      </c>
      <c r="R67" s="9">
        <v>7.4962660822000009</v>
      </c>
      <c r="S67" s="73" t="s">
        <v>121</v>
      </c>
      <c r="T67" s="9">
        <v>8.4962660822</v>
      </c>
      <c r="U67" s="73" t="s">
        <v>121</v>
      </c>
      <c r="V67" s="9">
        <v>10</v>
      </c>
      <c r="W67" s="242" t="s">
        <v>1516</v>
      </c>
      <c r="X67" s="9">
        <v>38.894885479500005</v>
      </c>
      <c r="Y67" s="64" t="s">
        <v>52</v>
      </c>
      <c r="Z67" s="9">
        <v>28.496346771071433</v>
      </c>
      <c r="AA67" s="73" t="s">
        <v>121</v>
      </c>
      <c r="AB67" s="15" t="s">
        <v>52</v>
      </c>
      <c r="AC67" s="9">
        <v>11.96735446621901</v>
      </c>
      <c r="AD67" s="288" t="s">
        <v>121</v>
      </c>
      <c r="AE67" s="288" t="s">
        <v>306</v>
      </c>
      <c r="AF67" s="9">
        <v>11.809340895222931</v>
      </c>
      <c r="AG67" s="73" t="s">
        <v>121</v>
      </c>
      <c r="AH67" s="55" t="s">
        <v>1513</v>
      </c>
      <c r="AI67" s="9">
        <v>10.853708577461539</v>
      </c>
      <c r="AJ67" s="57" t="s">
        <v>95</v>
      </c>
      <c r="AK67" s="288" t="s">
        <v>306</v>
      </c>
      <c r="AL67" s="9">
        <v>10.503392338622755</v>
      </c>
      <c r="AM67" s="57" t="s">
        <v>95</v>
      </c>
      <c r="AN67" s="15" t="s">
        <v>52</v>
      </c>
      <c r="AO67" s="9">
        <v>10.290457178721375</v>
      </c>
      <c r="AP67" s="60"/>
      <c r="AQ67" s="57" t="s">
        <v>95</v>
      </c>
      <c r="AR67" s="9">
        <v>6.6300972712400004</v>
      </c>
      <c r="AS67" s="73" t="s">
        <v>121</v>
      </c>
      <c r="AT67" s="9">
        <v>3.5335437720580005</v>
      </c>
      <c r="AU67" s="288" t="s">
        <v>121</v>
      </c>
      <c r="AV67" s="9">
        <v>3</v>
      </c>
      <c r="AW67" s="15" t="s">
        <v>52</v>
      </c>
      <c r="AX67" s="9">
        <v>92.489080657650007</v>
      </c>
      <c r="AY67" s="64" t="s">
        <v>52</v>
      </c>
      <c r="AZ67" s="9">
        <v>1.3212725808235715</v>
      </c>
      <c r="BA67" s="288" t="s">
        <v>121</v>
      </c>
      <c r="BB67" s="64" t="s">
        <v>52</v>
      </c>
      <c r="BC67" s="9">
        <v>7.1892507673563024</v>
      </c>
      <c r="BD67" s="288" t="s">
        <v>121</v>
      </c>
      <c r="BE67" s="288" t="s">
        <v>306</v>
      </c>
      <c r="BF67" s="9">
        <v>6.6671373848665798</v>
      </c>
      <c r="BG67" s="288" t="s">
        <v>121</v>
      </c>
      <c r="BH67" s="55" t="s">
        <v>1513</v>
      </c>
      <c r="BI67" s="9">
        <v>6.1115356804678953</v>
      </c>
      <c r="BJ67" s="73" t="s">
        <v>121</v>
      </c>
      <c r="BK67" s="242" t="s">
        <v>1516</v>
      </c>
      <c r="BL67" s="9">
        <v>5.7587726935480958</v>
      </c>
      <c r="BM67" s="57" t="s">
        <v>95</v>
      </c>
      <c r="BN67" s="64" t="s">
        <v>52</v>
      </c>
      <c r="BO67" s="9">
        <v>4.717783763577315</v>
      </c>
    </row>
    <row r="68" spans="1:67" x14ac:dyDescent="0.45">
      <c r="A68" s="10">
        <v>55</v>
      </c>
      <c r="B68" s="10" t="s">
        <v>198</v>
      </c>
      <c r="C68" s="288" t="s">
        <v>1993</v>
      </c>
      <c r="D68" s="65"/>
      <c r="E68" s="290" t="s">
        <v>2201</v>
      </c>
      <c r="F68" s="59" t="s">
        <v>2202</v>
      </c>
      <c r="G68" s="242"/>
      <c r="H68" s="10"/>
      <c r="I68" s="62">
        <v>162.80180206</v>
      </c>
      <c r="J68" s="62">
        <v>139.88310177</v>
      </c>
      <c r="K68" s="62">
        <v>162.01150205000002</v>
      </c>
      <c r="L68" s="49">
        <v>2450.8388664782678</v>
      </c>
      <c r="M68" s="49">
        <v>2387.7024592328189</v>
      </c>
      <c r="N68" s="49">
        <v>2338.3664158105903</v>
      </c>
      <c r="O68" s="61">
        <v>19.881575043949972</v>
      </c>
      <c r="P68" s="60"/>
      <c r="Q68" s="57" t="s">
        <v>101</v>
      </c>
      <c r="R68" s="9">
        <v>17.280180206000001</v>
      </c>
      <c r="S68" s="73" t="s">
        <v>121</v>
      </c>
      <c r="T68" s="9">
        <v>11.768108123599999</v>
      </c>
      <c r="U68" s="73" t="s">
        <v>121</v>
      </c>
      <c r="V68" s="9">
        <v>10</v>
      </c>
      <c r="W68" s="288" t="s">
        <v>197</v>
      </c>
      <c r="X68" s="9">
        <v>127.9854056068</v>
      </c>
      <c r="Y68" s="64" t="s">
        <v>52</v>
      </c>
      <c r="Z68" s="9">
        <v>42.129021943571431</v>
      </c>
      <c r="AA68" s="73" t="s">
        <v>121</v>
      </c>
      <c r="AB68" s="73" t="s">
        <v>197</v>
      </c>
      <c r="AC68" s="9">
        <v>18.471164424270675</v>
      </c>
      <c r="AD68" s="242" t="s">
        <v>101</v>
      </c>
      <c r="AE68" s="288" t="s">
        <v>197</v>
      </c>
      <c r="AF68" s="9">
        <v>17.168735658537933</v>
      </c>
      <c r="AG68" s="73" t="s">
        <v>121</v>
      </c>
      <c r="AH68" s="57" t="s">
        <v>82</v>
      </c>
      <c r="AI68" s="9">
        <v>17.064275839102564</v>
      </c>
      <c r="AJ68" s="73" t="s">
        <v>121</v>
      </c>
      <c r="AK68" s="64" t="s">
        <v>52</v>
      </c>
      <c r="AL68" s="9">
        <v>17.037357629545458</v>
      </c>
      <c r="AM68" s="73" t="s">
        <v>121</v>
      </c>
      <c r="AN68" s="57" t="s">
        <v>1540</v>
      </c>
      <c r="AO68" s="9">
        <v>16.44227124236842</v>
      </c>
      <c r="AP68" s="60"/>
      <c r="AQ68" s="57" t="s">
        <v>101</v>
      </c>
      <c r="AR68" s="9">
        <v>17.93138741424</v>
      </c>
      <c r="AS68" s="73" t="s">
        <v>121</v>
      </c>
      <c r="AT68" s="9">
        <v>4.8095621682039997</v>
      </c>
      <c r="AU68" s="242" t="s">
        <v>2457</v>
      </c>
      <c r="AV68" s="9">
        <v>3</v>
      </c>
      <c r="AW68" s="73" t="s">
        <v>197</v>
      </c>
      <c r="AX68" s="9">
        <v>166.08102728884</v>
      </c>
      <c r="AY68" s="288" t="s">
        <v>197</v>
      </c>
      <c r="AZ68" s="9">
        <v>2.2144136971845332</v>
      </c>
      <c r="BA68" s="288" t="s">
        <v>121</v>
      </c>
      <c r="BB68" s="288" t="s">
        <v>197</v>
      </c>
      <c r="BC68" s="9">
        <v>11.012310826689999</v>
      </c>
      <c r="BD68" s="242" t="s">
        <v>101</v>
      </c>
      <c r="BE68" s="288" t="s">
        <v>197</v>
      </c>
      <c r="BF68" s="9">
        <v>10.698161485686153</v>
      </c>
      <c r="BG68" s="288" t="s">
        <v>121</v>
      </c>
      <c r="BH68" s="15" t="s">
        <v>52</v>
      </c>
      <c r="BI68" s="9">
        <v>10.306464657484657</v>
      </c>
      <c r="BJ68" s="57" t="s">
        <v>101</v>
      </c>
      <c r="BK68" s="64" t="s">
        <v>52</v>
      </c>
      <c r="BL68" s="9">
        <v>9.9931759996068497</v>
      </c>
      <c r="BM68" s="73" t="s">
        <v>121</v>
      </c>
      <c r="BN68" s="242" t="s">
        <v>82</v>
      </c>
      <c r="BO68" s="9">
        <v>9.5386738252848282</v>
      </c>
    </row>
    <row r="69" spans="1:67" x14ac:dyDescent="0.45">
      <c r="A69" s="10">
        <v>56</v>
      </c>
      <c r="B69" s="10" t="s">
        <v>1363</v>
      </c>
      <c r="C69" s="58" t="s">
        <v>1903</v>
      </c>
      <c r="D69" s="65"/>
      <c r="E69" s="287" t="s">
        <v>2235</v>
      </c>
      <c r="F69" s="289" t="s">
        <v>2236</v>
      </c>
      <c r="G69" s="242"/>
      <c r="H69" s="10"/>
      <c r="I69" s="62">
        <v>128.81890163</v>
      </c>
      <c r="J69" s="62">
        <v>76.659100970000011</v>
      </c>
      <c r="K69" s="62">
        <v>106.69050135000001</v>
      </c>
      <c r="L69" s="49">
        <v>1164.9957221840682</v>
      </c>
      <c r="M69" s="49">
        <v>1035.4108532594269</v>
      </c>
      <c r="N69" s="49">
        <v>942.20069193365487</v>
      </c>
      <c r="O69" s="61">
        <v>7.5964601127329958</v>
      </c>
      <c r="P69" s="60"/>
      <c r="Q69" s="55" t="s">
        <v>1507</v>
      </c>
      <c r="R69" s="9">
        <v>7.18330727824</v>
      </c>
      <c r="S69" s="15" t="s">
        <v>1489</v>
      </c>
      <c r="T69" s="9">
        <v>9.7291340977999994</v>
      </c>
      <c r="U69" s="55" t="s">
        <v>1507</v>
      </c>
      <c r="V69" s="9">
        <v>12.5</v>
      </c>
      <c r="W69" s="58" t="s">
        <v>1513</v>
      </c>
      <c r="X69" s="9">
        <v>39.645670488999997</v>
      </c>
      <c r="Y69" s="58" t="s">
        <v>1513</v>
      </c>
      <c r="Z69" s="9">
        <v>26.430446992666663</v>
      </c>
      <c r="AA69" s="55" t="s">
        <v>1507</v>
      </c>
      <c r="AB69" s="55" t="s">
        <v>1513</v>
      </c>
      <c r="AC69" s="9">
        <v>13.738583069127271</v>
      </c>
      <c r="AD69" s="58" t="s">
        <v>1507</v>
      </c>
      <c r="AE69" s="58" t="s">
        <v>106</v>
      </c>
      <c r="AF69" s="9">
        <v>13.092397027812501</v>
      </c>
      <c r="AG69" s="15" t="s">
        <v>1489</v>
      </c>
      <c r="AH69" s="55" t="s">
        <v>1513</v>
      </c>
      <c r="AI69" s="9">
        <v>12.961646270999999</v>
      </c>
      <c r="AJ69" s="15" t="s">
        <v>1489</v>
      </c>
      <c r="AK69" s="58" t="s">
        <v>106</v>
      </c>
      <c r="AL69" s="9">
        <v>12.564380658734102</v>
      </c>
      <c r="AM69" s="55" t="s">
        <v>1507</v>
      </c>
      <c r="AN69" s="55" t="s">
        <v>201</v>
      </c>
      <c r="AO69" s="9">
        <v>12.232312551532848</v>
      </c>
      <c r="AP69" s="60"/>
      <c r="AQ69" s="55" t="s">
        <v>1507</v>
      </c>
      <c r="AR69" s="9">
        <v>6.0239371635700003</v>
      </c>
      <c r="AS69" s="15" t="s">
        <v>1489</v>
      </c>
      <c r="AT69" s="9">
        <v>4.3492914423800002</v>
      </c>
      <c r="AU69" s="58" t="s">
        <v>1507</v>
      </c>
      <c r="AV69" s="9">
        <v>3.5</v>
      </c>
      <c r="AW69" s="55" t="s">
        <v>1513</v>
      </c>
      <c r="AX69" s="9">
        <v>51.239371635700003</v>
      </c>
      <c r="AY69" s="58" t="s">
        <v>1513</v>
      </c>
      <c r="AZ69" s="9">
        <v>1.4639820467342859</v>
      </c>
      <c r="BA69" s="58" t="s">
        <v>1507</v>
      </c>
      <c r="BB69" s="58" t="s">
        <v>1513</v>
      </c>
      <c r="BC69" s="9">
        <v>7.3962779503227276</v>
      </c>
      <c r="BD69" s="64" t="s">
        <v>1489</v>
      </c>
      <c r="BE69" s="58" t="s">
        <v>1513</v>
      </c>
      <c r="BF69" s="9">
        <v>6.8838903717486488</v>
      </c>
      <c r="BG69" s="58" t="s">
        <v>1507</v>
      </c>
      <c r="BH69" s="55" t="s">
        <v>106</v>
      </c>
      <c r="BI69" s="9">
        <v>6.482834829673636</v>
      </c>
      <c r="BJ69" s="15" t="s">
        <v>1489</v>
      </c>
      <c r="BK69" s="58" t="s">
        <v>106</v>
      </c>
      <c r="BL69" s="9">
        <v>6.3407620297410814</v>
      </c>
      <c r="BM69" s="15" t="s">
        <v>1489</v>
      </c>
      <c r="BN69" s="58" t="s">
        <v>201</v>
      </c>
      <c r="BO69" s="9">
        <v>6.1036821979123816</v>
      </c>
    </row>
    <row r="70" spans="1:67" x14ac:dyDescent="0.45">
      <c r="A70" s="10">
        <v>57</v>
      </c>
      <c r="B70" s="10" t="s">
        <v>202</v>
      </c>
      <c r="C70" s="58" t="s">
        <v>1903</v>
      </c>
      <c r="D70" s="65"/>
      <c r="E70" s="287" t="s">
        <v>2235</v>
      </c>
      <c r="F70" s="289" t="s">
        <v>2236</v>
      </c>
      <c r="G70" s="242"/>
      <c r="H70" s="10"/>
      <c r="I70" s="62">
        <v>175.44660222000002</v>
      </c>
      <c r="J70" s="62">
        <v>120.91590153000001</v>
      </c>
      <c r="K70" s="62">
        <v>140.67340178000001</v>
      </c>
      <c r="L70" s="49">
        <v>2288.1930695517085</v>
      </c>
      <c r="M70" s="49">
        <v>2072.8135863372213</v>
      </c>
      <c r="N70" s="49">
        <v>1915.2007853532116</v>
      </c>
      <c r="O70" s="61">
        <v>15.174779101896224</v>
      </c>
      <c r="P70" s="60"/>
      <c r="Q70" s="55" t="s">
        <v>45</v>
      </c>
      <c r="R70" s="9">
        <v>13.63215535984</v>
      </c>
      <c r="S70" s="55" t="s">
        <v>45</v>
      </c>
      <c r="T70" s="9">
        <v>15.146839288711112</v>
      </c>
      <c r="U70" s="55" t="s">
        <v>1507</v>
      </c>
      <c r="V70" s="9">
        <v>12.5</v>
      </c>
      <c r="W70" s="58" t="s">
        <v>216</v>
      </c>
      <c r="X70" s="9">
        <v>106.26796133200001</v>
      </c>
      <c r="Y70" s="58" t="s">
        <v>216</v>
      </c>
      <c r="Z70" s="9">
        <v>46.203461448695663</v>
      </c>
      <c r="AA70" s="55" t="s">
        <v>45</v>
      </c>
      <c r="AB70" s="55" t="s">
        <v>216</v>
      </c>
      <c r="AC70" s="9">
        <v>20.248998643565717</v>
      </c>
      <c r="AD70" s="58" t="s">
        <v>45</v>
      </c>
      <c r="AE70" s="58" t="s">
        <v>1513</v>
      </c>
      <c r="AF70" s="9">
        <v>19.485607251228071</v>
      </c>
      <c r="AG70" s="55" t="s">
        <v>1507</v>
      </c>
      <c r="AH70" s="55" t="s">
        <v>216</v>
      </c>
      <c r="AI70" s="9">
        <v>19.464303922097088</v>
      </c>
      <c r="AJ70" s="55" t="s">
        <v>140</v>
      </c>
      <c r="AK70" s="58" t="s">
        <v>216</v>
      </c>
      <c r="AL70" s="9">
        <v>18.451302551251203</v>
      </c>
      <c r="AM70" s="55" t="s">
        <v>1507</v>
      </c>
      <c r="AN70" s="55" t="s">
        <v>1513</v>
      </c>
      <c r="AO70" s="9">
        <v>18.316575490690909</v>
      </c>
      <c r="AP70" s="60"/>
      <c r="AQ70" s="55" t="s">
        <v>45</v>
      </c>
      <c r="AR70" s="9">
        <v>11.947867978528002</v>
      </c>
      <c r="AS70" s="55" t="s">
        <v>45</v>
      </c>
      <c r="AT70" s="9">
        <v>5.9739339892640011</v>
      </c>
      <c r="AU70" s="58" t="s">
        <v>3457</v>
      </c>
      <c r="AV70" s="9">
        <v>3.5</v>
      </c>
      <c r="AW70" s="55" t="s">
        <v>216</v>
      </c>
      <c r="AX70" s="9">
        <v>137.84834973160002</v>
      </c>
      <c r="AY70" s="58" t="s">
        <v>216</v>
      </c>
      <c r="AZ70" s="9">
        <v>3.063296660702223</v>
      </c>
      <c r="BA70" s="58" t="s">
        <v>45</v>
      </c>
      <c r="BB70" s="58" t="s">
        <v>216</v>
      </c>
      <c r="BC70" s="9">
        <v>15.490644403659385</v>
      </c>
      <c r="BD70" s="58" t="s">
        <v>1507</v>
      </c>
      <c r="BE70" s="58" t="s">
        <v>216</v>
      </c>
      <c r="BF70" s="9">
        <v>13.586053969250518</v>
      </c>
      <c r="BG70" s="58" t="s">
        <v>45</v>
      </c>
      <c r="BH70" s="55" t="s">
        <v>1513</v>
      </c>
      <c r="BI70" s="9">
        <v>11.742137705312729</v>
      </c>
      <c r="BJ70" s="55" t="s">
        <v>45</v>
      </c>
      <c r="BK70" s="76" t="s">
        <v>1491</v>
      </c>
      <c r="BL70" s="9">
        <v>10.705407783103638</v>
      </c>
      <c r="BM70" s="55" t="s">
        <v>140</v>
      </c>
      <c r="BN70" s="58" t="s">
        <v>216</v>
      </c>
      <c r="BO70" s="9">
        <v>10.321776612367159</v>
      </c>
    </row>
    <row r="71" spans="1:67" x14ac:dyDescent="0.45">
      <c r="A71" s="10">
        <v>58</v>
      </c>
      <c r="B71" s="10" t="s">
        <v>1359</v>
      </c>
      <c r="C71" s="75" t="s">
        <v>1976</v>
      </c>
      <c r="D71" s="65"/>
      <c r="E71" s="80" t="s">
        <v>2198</v>
      </c>
      <c r="F71" s="289" t="s">
        <v>2199</v>
      </c>
      <c r="G71" s="242"/>
      <c r="H71" s="10"/>
      <c r="I71" s="62">
        <v>119.33530151000001</v>
      </c>
      <c r="J71" s="62">
        <v>85.352401080000007</v>
      </c>
      <c r="K71" s="62">
        <v>127.23830161000001</v>
      </c>
      <c r="L71" s="49">
        <v>1243.6143878575319</v>
      </c>
      <c r="M71" s="49">
        <v>1188.6893200534155</v>
      </c>
      <c r="N71" s="49">
        <v>1146.5010557955311</v>
      </c>
      <c r="O71" s="61">
        <v>10.006053831868979</v>
      </c>
      <c r="P71" s="60"/>
      <c r="Q71" s="70" t="s">
        <v>138</v>
      </c>
      <c r="R71" s="9">
        <v>8.160118090600001</v>
      </c>
      <c r="S71" s="67" t="s">
        <v>66</v>
      </c>
      <c r="T71" s="9">
        <v>9.160118090600001</v>
      </c>
      <c r="U71" s="70" t="s">
        <v>138</v>
      </c>
      <c r="V71" s="9">
        <v>10</v>
      </c>
      <c r="W71" s="75" t="s">
        <v>76</v>
      </c>
      <c r="X71" s="9">
        <v>51.1208266342</v>
      </c>
      <c r="Y71" s="64" t="s">
        <v>52</v>
      </c>
      <c r="Z71" s="9">
        <v>31.262396806071433</v>
      </c>
      <c r="AA71" s="67" t="s">
        <v>66</v>
      </c>
      <c r="AB71" s="70" t="s">
        <v>76</v>
      </c>
      <c r="AC71" s="9">
        <v>12.825037242656807</v>
      </c>
      <c r="AD71" s="75" t="s">
        <v>138</v>
      </c>
      <c r="AE71" s="75" t="s">
        <v>76</v>
      </c>
      <c r="AF71" s="9">
        <v>12.766863484333335</v>
      </c>
      <c r="AG71" s="67" t="s">
        <v>66</v>
      </c>
      <c r="AH71" s="15" t="s">
        <v>52</v>
      </c>
      <c r="AI71" s="9">
        <v>12.339212974332193</v>
      </c>
      <c r="AJ71" s="70" t="s">
        <v>138</v>
      </c>
      <c r="AK71" s="64" t="s">
        <v>52</v>
      </c>
      <c r="AL71" s="9">
        <v>12.16960447923554</v>
      </c>
      <c r="AM71" s="67" t="s">
        <v>66</v>
      </c>
      <c r="AN71" s="15" t="s">
        <v>1480</v>
      </c>
      <c r="AO71" s="9">
        <v>11.373788585989013</v>
      </c>
      <c r="AP71" s="60"/>
      <c r="AQ71" s="70" t="s">
        <v>138</v>
      </c>
      <c r="AR71" s="9">
        <v>6.584892110668001</v>
      </c>
      <c r="AS71" s="67" t="s">
        <v>66</v>
      </c>
      <c r="AT71" s="9">
        <v>4.1027178392600003</v>
      </c>
      <c r="AU71" s="75" t="s">
        <v>138</v>
      </c>
      <c r="AV71" s="9">
        <v>3</v>
      </c>
      <c r="AW71" s="15" t="s">
        <v>52</v>
      </c>
      <c r="AX71" s="9">
        <v>101.83832977595002</v>
      </c>
      <c r="AY71" s="75" t="s">
        <v>76</v>
      </c>
      <c r="AZ71" s="9">
        <v>1.5413342120003637</v>
      </c>
      <c r="BA71" s="75" t="s">
        <v>138</v>
      </c>
      <c r="BB71" s="75" t="s">
        <v>76</v>
      </c>
      <c r="BC71" s="9">
        <v>7.5069772073005181</v>
      </c>
      <c r="BD71" s="75" t="s">
        <v>138</v>
      </c>
      <c r="BE71" s="64" t="s">
        <v>52</v>
      </c>
      <c r="BF71" s="9">
        <v>7.3422768931675355</v>
      </c>
      <c r="BG71" s="76" t="s">
        <v>66</v>
      </c>
      <c r="BH71" s="70" t="s">
        <v>76</v>
      </c>
      <c r="BI71" s="9">
        <v>6.9332674470059654</v>
      </c>
      <c r="BJ71" s="67" t="s">
        <v>66</v>
      </c>
      <c r="BK71" s="64" t="s">
        <v>52</v>
      </c>
      <c r="BL71" s="9">
        <v>6.8175959486125013</v>
      </c>
      <c r="BM71" s="70" t="s">
        <v>138</v>
      </c>
      <c r="BN71" s="64" t="s">
        <v>1480</v>
      </c>
      <c r="BO71" s="9">
        <v>6.7857345974576324</v>
      </c>
    </row>
    <row r="72" spans="1:67" x14ac:dyDescent="0.45">
      <c r="A72" s="10">
        <v>59</v>
      </c>
      <c r="B72" s="10" t="s">
        <v>21</v>
      </c>
      <c r="C72" s="75" t="s">
        <v>1976</v>
      </c>
      <c r="D72" s="65"/>
      <c r="E72" s="80" t="s">
        <v>2198</v>
      </c>
      <c r="F72" s="289" t="s">
        <v>2199</v>
      </c>
      <c r="G72" s="242"/>
      <c r="H72" s="10"/>
      <c r="I72" s="62">
        <v>191.25260242000002</v>
      </c>
      <c r="J72" s="62">
        <v>143.04430181000001</v>
      </c>
      <c r="K72" s="62">
        <v>175.44660222000002</v>
      </c>
      <c r="L72" s="49">
        <v>3029.8080525280061</v>
      </c>
      <c r="M72" s="49">
        <v>2845.4344487545413</v>
      </c>
      <c r="N72" s="49">
        <v>2706.0471579075756</v>
      </c>
      <c r="O72" s="61">
        <v>21.955961531636536</v>
      </c>
      <c r="P72" s="60"/>
      <c r="Q72" s="70" t="s">
        <v>1512</v>
      </c>
      <c r="R72" s="9">
        <v>14.770187374240001</v>
      </c>
      <c r="S72" s="70" t="s">
        <v>1512</v>
      </c>
      <c r="T72" s="9">
        <v>16.41131930471111</v>
      </c>
      <c r="U72" s="51" t="s">
        <v>196</v>
      </c>
      <c r="V72" s="9">
        <v>13.333</v>
      </c>
      <c r="W72" s="75" t="s">
        <v>19</v>
      </c>
      <c r="X72" s="9">
        <v>161.65218603280002</v>
      </c>
      <c r="Y72" s="64" t="s">
        <v>52</v>
      </c>
      <c r="Z72" s="9">
        <v>49.241722033571435</v>
      </c>
      <c r="AA72" s="70" t="s">
        <v>1512</v>
      </c>
      <c r="AB72" s="70" t="s">
        <v>19</v>
      </c>
      <c r="AC72" s="9">
        <v>22.243057981001257</v>
      </c>
      <c r="AD72" s="75" t="s">
        <v>1512</v>
      </c>
      <c r="AE72" s="75" t="s">
        <v>76</v>
      </c>
      <c r="AF72" s="9">
        <v>22.1903851891885</v>
      </c>
      <c r="AG72" s="70" t="s">
        <v>1512</v>
      </c>
      <c r="AH72" s="51" t="s">
        <v>94</v>
      </c>
      <c r="AI72" s="9">
        <v>21.80879540158055</v>
      </c>
      <c r="AJ72" s="70" t="s">
        <v>1512</v>
      </c>
      <c r="AK72" s="64" t="s">
        <v>52</v>
      </c>
      <c r="AL72" s="9">
        <v>21.575652318239701</v>
      </c>
      <c r="AM72" s="67" t="s">
        <v>20</v>
      </c>
      <c r="AN72" s="70" t="s">
        <v>76</v>
      </c>
      <c r="AO72" s="9">
        <v>20.539896380997668</v>
      </c>
      <c r="AP72" s="60"/>
      <c r="AQ72" s="70" t="s">
        <v>1512</v>
      </c>
      <c r="AR72" s="9">
        <v>12.934162391008002</v>
      </c>
      <c r="AS72" s="70" t="s">
        <v>1512</v>
      </c>
      <c r="AT72" s="9">
        <v>6.4670811955040008</v>
      </c>
      <c r="AU72" s="76" t="s">
        <v>20</v>
      </c>
      <c r="AV72" s="9">
        <v>4.3333333333333002</v>
      </c>
      <c r="AW72" s="70" t="s">
        <v>19</v>
      </c>
      <c r="AX72" s="9">
        <v>209.84784184264004</v>
      </c>
      <c r="AY72" s="75" t="s">
        <v>19</v>
      </c>
      <c r="AZ72" s="9">
        <v>2.6230980230330005</v>
      </c>
      <c r="BA72" s="76" t="s">
        <v>20</v>
      </c>
      <c r="BB72" s="75" t="s">
        <v>19</v>
      </c>
      <c r="BC72" s="9">
        <v>13.064342728246325</v>
      </c>
      <c r="BD72" s="75" t="s">
        <v>1512</v>
      </c>
      <c r="BE72" s="75" t="s">
        <v>19</v>
      </c>
      <c r="BF72" s="9">
        <v>12.630134548447517</v>
      </c>
      <c r="BG72" s="76" t="s">
        <v>20</v>
      </c>
      <c r="BH72" s="70" t="s">
        <v>76</v>
      </c>
      <c r="BI72" s="9">
        <v>12.10806335118354</v>
      </c>
      <c r="BJ72" s="70" t="s">
        <v>1512</v>
      </c>
      <c r="BK72" s="75" t="s">
        <v>76</v>
      </c>
      <c r="BL72" s="9">
        <v>12.066744052170785</v>
      </c>
      <c r="BM72" s="70" t="s">
        <v>1512</v>
      </c>
      <c r="BN72" s="64" t="s">
        <v>52</v>
      </c>
      <c r="BO72" s="9">
        <v>11.851266293759036</v>
      </c>
    </row>
    <row r="73" spans="1:67" x14ac:dyDescent="0.45">
      <c r="A73" s="10">
        <v>60</v>
      </c>
      <c r="B73" s="10" t="s">
        <v>1357</v>
      </c>
      <c r="C73" s="288" t="s">
        <v>1993</v>
      </c>
      <c r="D73" s="65"/>
      <c r="E73" s="290" t="s">
        <v>2201</v>
      </c>
      <c r="F73" s="59" t="s">
        <v>2202</v>
      </c>
      <c r="G73" s="242"/>
      <c r="H73" s="10"/>
      <c r="I73" s="62">
        <v>91.674801160000001</v>
      </c>
      <c r="J73" s="62">
        <v>76.659100970000011</v>
      </c>
      <c r="K73" s="62">
        <v>106.69050135000001</v>
      </c>
      <c r="L73" s="49">
        <v>829.07671026596267</v>
      </c>
      <c r="M73" s="49">
        <v>825.32747486256835</v>
      </c>
      <c r="N73" s="49">
        <v>822.3402976258119</v>
      </c>
      <c r="O73" s="61">
        <v>7.5964601127329958</v>
      </c>
      <c r="P73" s="60"/>
      <c r="Q73" s="73" t="s">
        <v>214</v>
      </c>
      <c r="R73" s="9">
        <v>7.6005856835199994</v>
      </c>
      <c r="S73" s="73" t="s">
        <v>214</v>
      </c>
      <c r="T73" s="9">
        <v>6.3338214029333333</v>
      </c>
      <c r="U73" s="73" t="s">
        <v>2381</v>
      </c>
      <c r="V73" s="9">
        <v>11.667</v>
      </c>
      <c r="W73" s="80" t="s">
        <v>99</v>
      </c>
      <c r="X73" s="9">
        <v>26.210570318999999</v>
      </c>
      <c r="Y73" s="64" t="s">
        <v>52</v>
      </c>
      <c r="Z73" s="9">
        <v>24.347271718571427</v>
      </c>
      <c r="AA73" s="73" t="s">
        <v>214</v>
      </c>
      <c r="AB73" s="15" t="s">
        <v>52</v>
      </c>
      <c r="AC73" s="9">
        <v>9.8786369268942433</v>
      </c>
      <c r="AD73" s="288" t="s">
        <v>214</v>
      </c>
      <c r="AE73" s="288" t="s">
        <v>1524</v>
      </c>
      <c r="AF73" s="9">
        <v>9.2174715390710702</v>
      </c>
      <c r="AG73" s="71" t="s">
        <v>144</v>
      </c>
      <c r="AH73" s="15" t="s">
        <v>52</v>
      </c>
      <c r="AI73" s="9">
        <v>9.1980173649665335</v>
      </c>
      <c r="AJ73" s="73" t="s">
        <v>214</v>
      </c>
      <c r="AK73" s="64" t="s">
        <v>1480</v>
      </c>
      <c r="AL73" s="9">
        <v>8.832051954614613</v>
      </c>
      <c r="AM73" s="71" t="s">
        <v>144</v>
      </c>
      <c r="AN73" s="73" t="s">
        <v>1524</v>
      </c>
      <c r="AO73" s="9">
        <v>8.7085397945665655</v>
      </c>
      <c r="AP73" s="60"/>
      <c r="AQ73" s="73" t="s">
        <v>214</v>
      </c>
      <c r="AR73" s="9">
        <v>6.7205075923840001</v>
      </c>
      <c r="AS73" s="73" t="s">
        <v>214</v>
      </c>
      <c r="AT73" s="9">
        <v>2.2401691974613334</v>
      </c>
      <c r="AU73" s="80" t="s">
        <v>144</v>
      </c>
      <c r="AV73" s="9">
        <v>4.5</v>
      </c>
      <c r="AW73" s="15" t="s">
        <v>52</v>
      </c>
      <c r="AX73" s="9">
        <v>78.465206980200009</v>
      </c>
      <c r="AY73" s="64" t="s">
        <v>52</v>
      </c>
      <c r="AZ73" s="9">
        <v>1.1209315282885715</v>
      </c>
      <c r="BA73" s="80" t="s">
        <v>144</v>
      </c>
      <c r="BB73" s="64" t="s">
        <v>52</v>
      </c>
      <c r="BC73" s="9">
        <v>6.0491474255382549</v>
      </c>
      <c r="BD73" s="288" t="s">
        <v>214</v>
      </c>
      <c r="BE73" s="64" t="s">
        <v>52</v>
      </c>
      <c r="BF73" s="9">
        <v>6.0341756029370144</v>
      </c>
      <c r="BG73" s="288" t="s">
        <v>214</v>
      </c>
      <c r="BH73" s="15" t="s">
        <v>1480</v>
      </c>
      <c r="BI73" s="9">
        <v>5.512953988877932</v>
      </c>
      <c r="BJ73" s="71" t="s">
        <v>144</v>
      </c>
      <c r="BK73" s="64" t="s">
        <v>1480</v>
      </c>
      <c r="BL73" s="9">
        <v>5.4221089096620245</v>
      </c>
      <c r="BM73" s="73" t="s">
        <v>214</v>
      </c>
      <c r="BN73" s="80" t="s">
        <v>99</v>
      </c>
      <c r="BO73" s="9">
        <v>4.8880264065424432</v>
      </c>
    </row>
    <row r="74" spans="1:67" x14ac:dyDescent="0.45">
      <c r="A74" s="10">
        <v>61</v>
      </c>
      <c r="B74" s="10" t="s">
        <v>1356</v>
      </c>
      <c r="C74" s="288" t="s">
        <v>1993</v>
      </c>
      <c r="D74" s="65"/>
      <c r="E74" s="290" t="s">
        <v>2201</v>
      </c>
      <c r="F74" s="59" t="s">
        <v>2202</v>
      </c>
      <c r="G74" s="242"/>
      <c r="H74" s="10"/>
      <c r="I74" s="62">
        <v>114.59350145000001</v>
      </c>
      <c r="J74" s="62">
        <v>109.06140138000001</v>
      </c>
      <c r="K74" s="62">
        <v>140.67340178000001</v>
      </c>
      <c r="L74" s="49">
        <v>1419.3892819022772</v>
      </c>
      <c r="M74" s="49">
        <v>1456.6728826583899</v>
      </c>
      <c r="N74" s="49">
        <v>1487.2036640054903</v>
      </c>
      <c r="O74" s="61">
        <v>13.833353424732445</v>
      </c>
      <c r="P74" s="60"/>
      <c r="Q74" s="73" t="s">
        <v>214</v>
      </c>
      <c r="R74" s="9">
        <v>9.2507321044000008</v>
      </c>
      <c r="S74" s="73" t="s">
        <v>214</v>
      </c>
      <c r="T74" s="9">
        <v>7.708943420333334</v>
      </c>
      <c r="U74" s="73" t="s">
        <v>2381</v>
      </c>
      <c r="V74" s="9">
        <v>11.667</v>
      </c>
      <c r="W74" s="288" t="s">
        <v>1566</v>
      </c>
      <c r="X74" s="9">
        <v>56.004880696000001</v>
      </c>
      <c r="Y74" s="64" t="s">
        <v>52</v>
      </c>
      <c r="Z74" s="9">
        <v>30.076946791071432</v>
      </c>
      <c r="AA74" s="73" t="s">
        <v>214</v>
      </c>
      <c r="AB74" s="15" t="s">
        <v>52</v>
      </c>
      <c r="AC74" s="9">
        <v>12.110679023410309</v>
      </c>
      <c r="AD74" s="288" t="s">
        <v>214</v>
      </c>
      <c r="AE74" s="288" t="s">
        <v>1524</v>
      </c>
      <c r="AF74" s="9">
        <v>11.344161746161161</v>
      </c>
      <c r="AG74" s="73" t="s">
        <v>214</v>
      </c>
      <c r="AH74" s="73" t="s">
        <v>1566</v>
      </c>
      <c r="AI74" s="9">
        <v>11.150312477316637</v>
      </c>
      <c r="AJ74" s="71" t="s">
        <v>144</v>
      </c>
      <c r="AK74" s="64" t="s">
        <v>52</v>
      </c>
      <c r="AL74" s="9">
        <v>11.092568560291165</v>
      </c>
      <c r="AM74" s="73" t="s">
        <v>214</v>
      </c>
      <c r="AN74" s="73" t="s">
        <v>238</v>
      </c>
      <c r="AO74" s="9">
        <v>10.97658772658397</v>
      </c>
      <c r="AP74" s="60"/>
      <c r="AQ74" s="73" t="s">
        <v>214</v>
      </c>
      <c r="AR74" s="9">
        <v>8.1506344904799999</v>
      </c>
      <c r="AS74" s="73" t="s">
        <v>214</v>
      </c>
      <c r="AT74" s="9">
        <v>2.7168781634933334</v>
      </c>
      <c r="AU74" s="80" t="s">
        <v>144</v>
      </c>
      <c r="AV74" s="9">
        <v>4.5</v>
      </c>
      <c r="AW74" s="15" t="s">
        <v>52</v>
      </c>
      <c r="AX74" s="9">
        <v>97.831508725250004</v>
      </c>
      <c r="AY74" s="64" t="s">
        <v>52</v>
      </c>
      <c r="AZ74" s="9">
        <v>1.3975929817892858</v>
      </c>
      <c r="BA74" s="288" t="s">
        <v>214</v>
      </c>
      <c r="BB74" s="64" t="s">
        <v>52</v>
      </c>
      <c r="BC74" s="9">
        <v>7.4510905443952495</v>
      </c>
      <c r="BD74" s="80" t="s">
        <v>144</v>
      </c>
      <c r="BE74" s="64" t="s">
        <v>52</v>
      </c>
      <c r="BF74" s="9">
        <v>7.4288839463523484</v>
      </c>
      <c r="BG74" s="288" t="s">
        <v>214</v>
      </c>
      <c r="BH74" s="73" t="s">
        <v>1566</v>
      </c>
      <c r="BI74" s="9">
        <v>6.7361668239874346</v>
      </c>
      <c r="BJ74" s="71" t="s">
        <v>144</v>
      </c>
      <c r="BK74" s="288" t="s">
        <v>1566</v>
      </c>
      <c r="BL74" s="9">
        <v>6.5630348902302327</v>
      </c>
      <c r="BM74" s="73" t="s">
        <v>214</v>
      </c>
      <c r="BN74" s="288" t="s">
        <v>238</v>
      </c>
      <c r="BO74" s="9">
        <v>6.2213960164267021</v>
      </c>
    </row>
    <row r="75" spans="1:67" x14ac:dyDescent="0.45">
      <c r="A75" s="10">
        <v>62</v>
      </c>
      <c r="B75" s="10" t="s">
        <v>1355</v>
      </c>
      <c r="C75" s="58" t="s">
        <v>2120</v>
      </c>
      <c r="D75" s="65"/>
      <c r="E75" s="287" t="s">
        <v>2237</v>
      </c>
      <c r="F75" s="289" t="s">
        <v>2238</v>
      </c>
      <c r="G75" s="242"/>
      <c r="H75" s="10"/>
      <c r="I75" s="62">
        <v>155.68910197000002</v>
      </c>
      <c r="J75" s="62">
        <v>157.26970199000002</v>
      </c>
      <c r="K75" s="62">
        <v>175.44660222000002</v>
      </c>
      <c r="L75" s="49">
        <v>2586.1471151947044</v>
      </c>
      <c r="M75" s="49">
        <v>2642.6044352029094</v>
      </c>
      <c r="N75" s="49">
        <v>2688.6564088254654</v>
      </c>
      <c r="O75" s="61">
        <v>23.84270045163241</v>
      </c>
      <c r="P75" s="60"/>
      <c r="Q75" s="55" t="s">
        <v>53</v>
      </c>
      <c r="R75" s="9">
        <v>15.012019177300001</v>
      </c>
      <c r="S75" s="55" t="s">
        <v>53</v>
      </c>
      <c r="T75" s="9">
        <v>11.547707059461539</v>
      </c>
      <c r="U75" s="73" t="s">
        <v>2381</v>
      </c>
      <c r="V75" s="9">
        <v>11.667</v>
      </c>
      <c r="W75" s="288" t="s">
        <v>197</v>
      </c>
      <c r="X75" s="9">
        <v>122.43749953660001</v>
      </c>
      <c r="Y75" s="64" t="s">
        <v>52</v>
      </c>
      <c r="Z75" s="9">
        <v>40.350846921071437</v>
      </c>
      <c r="AA75" s="73" t="s">
        <v>214</v>
      </c>
      <c r="AB75" s="55" t="s">
        <v>267</v>
      </c>
      <c r="AC75" s="9">
        <v>18.4201470141636</v>
      </c>
      <c r="AD75" s="58" t="s">
        <v>53</v>
      </c>
      <c r="AE75" s="58" t="s">
        <v>267</v>
      </c>
      <c r="AF75" s="9">
        <v>17.405675103293479</v>
      </c>
      <c r="AG75" s="71" t="s">
        <v>144</v>
      </c>
      <c r="AH75" s="55" t="s">
        <v>267</v>
      </c>
      <c r="AI75" s="9">
        <v>17.180290039040901</v>
      </c>
      <c r="AJ75" s="73" t="s">
        <v>214</v>
      </c>
      <c r="AK75" s="288" t="s">
        <v>197</v>
      </c>
      <c r="AL75" s="9">
        <v>17.063133509404654</v>
      </c>
      <c r="AM75" s="55" t="s">
        <v>53</v>
      </c>
      <c r="AN75" s="73" t="s">
        <v>197</v>
      </c>
      <c r="AO75" s="9">
        <v>16.721330755190188</v>
      </c>
      <c r="AP75" s="60"/>
      <c r="AQ75" s="55" t="s">
        <v>53</v>
      </c>
      <c r="AR75" s="9">
        <v>11.929374958294002</v>
      </c>
      <c r="AS75" s="55" t="s">
        <v>53</v>
      </c>
      <c r="AT75" s="9">
        <v>3.9764583194313339</v>
      </c>
      <c r="AU75" s="80" t="s">
        <v>144</v>
      </c>
      <c r="AV75" s="9">
        <v>4.5</v>
      </c>
      <c r="AW75" s="73" t="s">
        <v>197</v>
      </c>
      <c r="AX75" s="9">
        <v>158.86874939758002</v>
      </c>
      <c r="AY75" s="58" t="s">
        <v>267</v>
      </c>
      <c r="AZ75" s="9">
        <v>2.2058749916588005</v>
      </c>
      <c r="BA75" s="80" t="s">
        <v>144</v>
      </c>
      <c r="BB75" s="58" t="s">
        <v>267</v>
      </c>
      <c r="BC75" s="9">
        <v>10.958170831809269</v>
      </c>
      <c r="BD75" s="80" t="s">
        <v>144</v>
      </c>
      <c r="BE75" s="288" t="s">
        <v>197</v>
      </c>
      <c r="BF75" s="9">
        <v>10.896314818926697</v>
      </c>
      <c r="BG75" s="288" t="s">
        <v>214</v>
      </c>
      <c r="BH75" s="55" t="s">
        <v>267</v>
      </c>
      <c r="BI75" s="9">
        <v>10.863237537631926</v>
      </c>
      <c r="BJ75" s="73" t="s">
        <v>214</v>
      </c>
      <c r="BK75" s="288" t="s">
        <v>197</v>
      </c>
      <c r="BL75" s="9">
        <v>10.810090002512629</v>
      </c>
      <c r="BM75" s="73" t="s">
        <v>214</v>
      </c>
      <c r="BN75" s="64" t="s">
        <v>52</v>
      </c>
      <c r="BO75" s="9">
        <v>9.9917656118376037</v>
      </c>
    </row>
    <row r="76" spans="1:67" x14ac:dyDescent="0.45">
      <c r="A76" s="10">
        <v>63</v>
      </c>
      <c r="B76" s="10" t="s">
        <v>1354</v>
      </c>
      <c r="C76" s="242" t="s">
        <v>1925</v>
      </c>
      <c r="D76" s="65"/>
      <c r="E76" s="289" t="s">
        <v>2239</v>
      </c>
      <c r="F76" s="58" t="s">
        <v>2170</v>
      </c>
      <c r="G76" s="242"/>
      <c r="H76" s="10"/>
      <c r="I76" s="62">
        <v>165.96300210000001</v>
      </c>
      <c r="J76" s="62">
        <v>76.659100970000011</v>
      </c>
      <c r="K76" s="62">
        <v>85.352401080000007</v>
      </c>
      <c r="L76" s="49">
        <v>1342.458949553393</v>
      </c>
      <c r="M76" s="49">
        <v>1056.4780975145434</v>
      </c>
      <c r="N76" s="49">
        <v>872.22410458379568</v>
      </c>
      <c r="O76" s="61">
        <v>6.0771680901863974</v>
      </c>
      <c r="P76" s="60"/>
      <c r="Q76" s="57" t="s">
        <v>95</v>
      </c>
      <c r="R76" s="9">
        <v>12.949336151200001</v>
      </c>
      <c r="S76" s="57" t="s">
        <v>95</v>
      </c>
      <c r="T76" s="9">
        <v>11.772123773818182</v>
      </c>
      <c r="U76" s="51" t="s">
        <v>74</v>
      </c>
      <c r="V76" s="9">
        <v>13.635999999999999</v>
      </c>
      <c r="W76" s="77" t="s">
        <v>73</v>
      </c>
      <c r="X76" s="9">
        <v>83.981501050000006</v>
      </c>
      <c r="Y76" s="64" t="s">
        <v>52</v>
      </c>
      <c r="Z76" s="9">
        <v>42.919321953571433</v>
      </c>
      <c r="AA76" s="57" t="s">
        <v>95</v>
      </c>
      <c r="AB76" s="68" t="s">
        <v>73</v>
      </c>
      <c r="AC76" s="9">
        <v>17.497433153647059</v>
      </c>
      <c r="AD76" s="242" t="s">
        <v>95</v>
      </c>
      <c r="AE76" s="242" t="s">
        <v>58</v>
      </c>
      <c r="AF76" s="9">
        <v>17.103145233979056</v>
      </c>
      <c r="AG76" s="57" t="s">
        <v>95</v>
      </c>
      <c r="AH76" s="15" t="s">
        <v>52</v>
      </c>
      <c r="AI76" s="9">
        <v>16.765186077442745</v>
      </c>
      <c r="AJ76" s="51" t="s">
        <v>74</v>
      </c>
      <c r="AK76" s="77" t="s">
        <v>73</v>
      </c>
      <c r="AL76" s="9">
        <v>16.416485199500002</v>
      </c>
      <c r="AM76" s="51" t="s">
        <v>74</v>
      </c>
      <c r="AN76" s="57" t="s">
        <v>58</v>
      </c>
      <c r="AO76" s="9">
        <v>16.075605595053993</v>
      </c>
      <c r="AP76" s="60"/>
      <c r="AQ76" s="57" t="s">
        <v>95</v>
      </c>
      <c r="AR76" s="9">
        <v>11.356091331040002</v>
      </c>
      <c r="AS76" s="57" t="s">
        <v>95</v>
      </c>
      <c r="AT76" s="9">
        <v>3.7853637770133339</v>
      </c>
      <c r="AU76" s="290" t="s">
        <v>74</v>
      </c>
      <c r="AV76" s="9">
        <v>3.6666666666666998</v>
      </c>
      <c r="AW76" s="15" t="s">
        <v>52</v>
      </c>
      <c r="AX76" s="9">
        <v>141.23873677450001</v>
      </c>
      <c r="AY76" s="242" t="s">
        <v>58</v>
      </c>
      <c r="AZ76" s="9">
        <v>2.0359066477022223</v>
      </c>
      <c r="BA76" s="290" t="s">
        <v>74</v>
      </c>
      <c r="BB76" s="64" t="s">
        <v>52</v>
      </c>
      <c r="BC76" s="9">
        <v>9.0551671235158384</v>
      </c>
      <c r="BD76" s="290" t="s">
        <v>74</v>
      </c>
      <c r="BE76" s="242" t="s">
        <v>58</v>
      </c>
      <c r="BF76" s="9">
        <v>8.8732512409852742</v>
      </c>
      <c r="BG76" s="290" t="s">
        <v>74</v>
      </c>
      <c r="BH76" s="68" t="s">
        <v>73</v>
      </c>
      <c r="BI76" s="9">
        <v>8.8028087003906261</v>
      </c>
      <c r="BJ76" s="57" t="s">
        <v>95</v>
      </c>
      <c r="BK76" s="64" t="s">
        <v>52</v>
      </c>
      <c r="BL76" s="9">
        <v>7.6035130269435189</v>
      </c>
      <c r="BM76" s="57" t="s">
        <v>95</v>
      </c>
      <c r="BN76" s="242" t="s">
        <v>58</v>
      </c>
      <c r="BO76" s="9">
        <v>7.5228291118893633</v>
      </c>
    </row>
    <row r="77" spans="1:67" x14ac:dyDescent="0.45">
      <c r="A77" s="10">
        <v>64</v>
      </c>
      <c r="B77" s="10" t="s">
        <v>1353</v>
      </c>
      <c r="C77" s="242" t="s">
        <v>1925</v>
      </c>
      <c r="D77" s="65"/>
      <c r="E77" s="289" t="s">
        <v>2239</v>
      </c>
      <c r="F77" s="58" t="s">
        <v>2170</v>
      </c>
      <c r="G77" s="242"/>
      <c r="H77" s="10"/>
      <c r="I77" s="62">
        <v>195.20410247000001</v>
      </c>
      <c r="J77" s="62">
        <v>104.31960132</v>
      </c>
      <c r="K77" s="62">
        <v>106.69050135000001</v>
      </c>
      <c r="L77" s="49">
        <v>2059.3718784427024</v>
      </c>
      <c r="M77" s="49">
        <v>1677.4660662400086</v>
      </c>
      <c r="N77" s="49">
        <v>1423.603070146728</v>
      </c>
      <c r="O77" s="61">
        <v>10.078523058143016</v>
      </c>
      <c r="P77" s="60"/>
      <c r="Q77" s="57" t="s">
        <v>101</v>
      </c>
      <c r="R77" s="9">
        <v>24.4244922964</v>
      </c>
      <c r="S77" s="57" t="s">
        <v>101</v>
      </c>
      <c r="T77" s="9">
        <v>15.265307685249999</v>
      </c>
      <c r="U77" s="57" t="s">
        <v>1497</v>
      </c>
      <c r="V77" s="9">
        <v>13.333</v>
      </c>
      <c r="W77" s="77" t="s">
        <v>2382</v>
      </c>
      <c r="X77" s="9">
        <v>98.602051235000005</v>
      </c>
      <c r="Y77" s="64" t="s">
        <v>52</v>
      </c>
      <c r="Z77" s="9">
        <v>50.229597046071433</v>
      </c>
      <c r="AA77" s="57" t="s">
        <v>101</v>
      </c>
      <c r="AB77" s="68" t="s">
        <v>73</v>
      </c>
      <c r="AC77" s="9">
        <v>21.60204306676</v>
      </c>
      <c r="AD77" s="242" t="s">
        <v>101</v>
      </c>
      <c r="AE77" s="64" t="s">
        <v>52</v>
      </c>
      <c r="AF77" s="9">
        <v>21.016613768100523</v>
      </c>
      <c r="AG77" s="57" t="s">
        <v>1497</v>
      </c>
      <c r="AH77" s="68" t="s">
        <v>73</v>
      </c>
      <c r="AI77" s="9">
        <v>20.955973399722225</v>
      </c>
      <c r="AJ77" s="57" t="s">
        <v>101</v>
      </c>
      <c r="AK77" s="65" t="s">
        <v>63</v>
      </c>
      <c r="AL77" s="9">
        <v>20.379285912037737</v>
      </c>
      <c r="AM77" s="57" t="s">
        <v>1497</v>
      </c>
      <c r="AN77" s="15" t="s">
        <v>52</v>
      </c>
      <c r="AO77" s="9">
        <v>19.914967939895835</v>
      </c>
      <c r="AP77" s="60"/>
      <c r="AQ77" s="57" t="s">
        <v>101</v>
      </c>
      <c r="AR77" s="9">
        <v>25.361471988256003</v>
      </c>
      <c r="AS77" s="57" t="s">
        <v>101</v>
      </c>
      <c r="AT77" s="9">
        <v>6.3403679970640008</v>
      </c>
      <c r="AU77" s="242" t="s">
        <v>1497</v>
      </c>
      <c r="AV77" s="9">
        <v>4.5</v>
      </c>
      <c r="AW77" s="15" t="s">
        <v>52</v>
      </c>
      <c r="AX77" s="9">
        <v>165.94746658715002</v>
      </c>
      <c r="AY77" s="64" t="s">
        <v>52</v>
      </c>
      <c r="AZ77" s="9">
        <v>2.3706780941021433</v>
      </c>
      <c r="BA77" s="242" t="s">
        <v>101</v>
      </c>
      <c r="BB77" s="64" t="s">
        <v>52</v>
      </c>
      <c r="BC77" s="9">
        <v>12.899563829533289</v>
      </c>
      <c r="BD77" s="242" t="s">
        <v>1497</v>
      </c>
      <c r="BE77" s="64" t="s">
        <v>52</v>
      </c>
      <c r="BF77" s="9">
        <v>12.639406168659129</v>
      </c>
      <c r="BG77" s="242" t="s">
        <v>101</v>
      </c>
      <c r="BH77" s="68" t="s">
        <v>73</v>
      </c>
      <c r="BI77" s="9">
        <v>12.627038614741725</v>
      </c>
      <c r="BJ77" s="57" t="s">
        <v>1497</v>
      </c>
      <c r="BK77" s="77" t="s">
        <v>73</v>
      </c>
      <c r="BL77" s="9">
        <v>12.245140162423446</v>
      </c>
      <c r="BM77" s="57" t="s">
        <v>101</v>
      </c>
      <c r="BN77" s="65" t="s">
        <v>63</v>
      </c>
      <c r="BO77" s="9">
        <v>11.856692597159316</v>
      </c>
    </row>
    <row r="78" spans="1:67" x14ac:dyDescent="0.45">
      <c r="A78" s="10">
        <v>65</v>
      </c>
      <c r="B78" s="10" t="s">
        <v>296</v>
      </c>
      <c r="C78" s="242" t="s">
        <v>1925</v>
      </c>
      <c r="D78" s="65"/>
      <c r="E78" s="289" t="s">
        <v>2239</v>
      </c>
      <c r="F78" s="58" t="s">
        <v>2170</v>
      </c>
      <c r="G78" s="242"/>
      <c r="H78" s="10"/>
      <c r="I78" s="62">
        <v>226.02580286000003</v>
      </c>
      <c r="J78" s="62">
        <v>143.83460182000002</v>
      </c>
      <c r="K78" s="62">
        <v>127.23830161000001</v>
      </c>
      <c r="L78" s="49">
        <v>3057.7265204027135</v>
      </c>
      <c r="M78" s="49">
        <v>2576.8719590229157</v>
      </c>
      <c r="N78" s="49">
        <v>2247.2334946696606</v>
      </c>
      <c r="O78" s="61">
        <v>15.999927279003058</v>
      </c>
      <c r="P78" s="60"/>
      <c r="Q78" s="57" t="s">
        <v>101</v>
      </c>
      <c r="R78" s="9">
        <v>28.123096343200004</v>
      </c>
      <c r="S78" s="57" t="s">
        <v>101</v>
      </c>
      <c r="T78" s="9">
        <v>17.576935214500001</v>
      </c>
      <c r="U78" s="57" t="s">
        <v>1497</v>
      </c>
      <c r="V78" s="9">
        <v>13.333</v>
      </c>
      <c r="W78" s="242" t="s">
        <v>295</v>
      </c>
      <c r="X78" s="9">
        <v>163.73857805920002</v>
      </c>
      <c r="Y78" s="242" t="s">
        <v>295</v>
      </c>
      <c r="Z78" s="9">
        <v>60.643917799703708</v>
      </c>
      <c r="AA78" s="57" t="s">
        <v>101</v>
      </c>
      <c r="AB78" s="57" t="s">
        <v>82</v>
      </c>
      <c r="AC78" s="9">
        <v>26.655441150213118</v>
      </c>
      <c r="AD78" s="242" t="s">
        <v>1497</v>
      </c>
      <c r="AE78" s="242" t="s">
        <v>82</v>
      </c>
      <c r="AF78" s="9">
        <v>26.21126283674046</v>
      </c>
      <c r="AG78" s="57" t="s">
        <v>101</v>
      </c>
      <c r="AH78" s="57" t="s">
        <v>295</v>
      </c>
      <c r="AI78" s="9">
        <v>25.942464205870507</v>
      </c>
      <c r="AJ78" s="57" t="s">
        <v>1497</v>
      </c>
      <c r="AK78" s="242" t="s">
        <v>295</v>
      </c>
      <c r="AL78" s="9">
        <v>25.227489635676193</v>
      </c>
      <c r="AM78" s="57" t="s">
        <v>101</v>
      </c>
      <c r="AN78" s="68" t="s">
        <v>73</v>
      </c>
      <c r="AO78" s="9">
        <v>24.930786708880003</v>
      </c>
      <c r="AP78" s="60"/>
      <c r="AQ78" s="57" t="s">
        <v>101</v>
      </c>
      <c r="AR78" s="9">
        <v>29.208020196928004</v>
      </c>
      <c r="AS78" s="57" t="s">
        <v>101</v>
      </c>
      <c r="AT78" s="9">
        <v>7.302005049232001</v>
      </c>
      <c r="AU78" s="242" t="s">
        <v>1497</v>
      </c>
      <c r="AV78" s="9">
        <v>4.5</v>
      </c>
      <c r="AW78" s="55" t="s">
        <v>187</v>
      </c>
      <c r="AX78" s="9">
        <v>221.37515778850005</v>
      </c>
      <c r="AY78" s="242" t="s">
        <v>295</v>
      </c>
      <c r="AZ78" s="9">
        <v>3.2701561765686162</v>
      </c>
      <c r="BA78" s="242" t="s">
        <v>1497</v>
      </c>
      <c r="BB78" s="242" t="s">
        <v>295</v>
      </c>
      <c r="BC78" s="9">
        <v>16.703788557141728</v>
      </c>
      <c r="BD78" s="242" t="s">
        <v>101</v>
      </c>
      <c r="BE78" s="242" t="s">
        <v>295</v>
      </c>
      <c r="BF78" s="9">
        <v>16.357511509278826</v>
      </c>
      <c r="BG78" s="242" t="s">
        <v>101</v>
      </c>
      <c r="BH78" s="55" t="s">
        <v>187</v>
      </c>
      <c r="BI78" s="9">
        <v>15.535587846896156</v>
      </c>
      <c r="BJ78" s="57" t="s">
        <v>1497</v>
      </c>
      <c r="BK78" s="58" t="s">
        <v>187</v>
      </c>
      <c r="BL78" s="9">
        <v>15.497180529030192</v>
      </c>
      <c r="BM78" s="57" t="s">
        <v>101</v>
      </c>
      <c r="BN78" s="242" t="s">
        <v>82</v>
      </c>
      <c r="BO78" s="9">
        <v>15.183114112602071</v>
      </c>
    </row>
    <row r="79" spans="1:67" x14ac:dyDescent="0.45">
      <c r="A79" s="10">
        <v>67</v>
      </c>
      <c r="B79" s="10" t="s">
        <v>1352</v>
      </c>
      <c r="C79" s="58" t="s">
        <v>1903</v>
      </c>
      <c r="D79" s="65"/>
      <c r="E79" s="287" t="s">
        <v>2235</v>
      </c>
      <c r="F79" s="289" t="s">
        <v>2236</v>
      </c>
      <c r="G79" s="242"/>
      <c r="H79" s="10"/>
      <c r="I79" s="62">
        <v>151.73760192</v>
      </c>
      <c r="J79" s="62">
        <v>110.64200140000001</v>
      </c>
      <c r="K79" s="62">
        <v>162.01150205000002</v>
      </c>
      <c r="L79" s="49">
        <v>2031.5436213324981</v>
      </c>
      <c r="M79" s="49">
        <v>1948.5253420478366</v>
      </c>
      <c r="N79" s="49">
        <v>1884.5600642546719</v>
      </c>
      <c r="O79" s="61">
        <v>16.139563256239921</v>
      </c>
      <c r="P79" s="60"/>
      <c r="Q79" s="55" t="s">
        <v>1507</v>
      </c>
      <c r="R79" s="9">
        <v>8.2834048921600001</v>
      </c>
      <c r="S79" s="55" t="s">
        <v>140</v>
      </c>
      <c r="T79" s="9">
        <v>10.770922781866668</v>
      </c>
      <c r="U79" s="55" t="s">
        <v>1507</v>
      </c>
      <c r="V79" s="9">
        <v>12.5</v>
      </c>
      <c r="W79" s="58" t="s">
        <v>267</v>
      </c>
      <c r="X79" s="9">
        <v>82.938305036800003</v>
      </c>
      <c r="Y79" s="58" t="s">
        <v>1513</v>
      </c>
      <c r="Z79" s="9">
        <v>31.014187050666667</v>
      </c>
      <c r="AA79" s="55" t="s">
        <v>1507</v>
      </c>
      <c r="AB79" s="55" t="s">
        <v>267</v>
      </c>
      <c r="AC79" s="9">
        <v>18.560496939940297</v>
      </c>
      <c r="AD79" s="58" t="s">
        <v>140</v>
      </c>
      <c r="AE79" s="58" t="s">
        <v>267</v>
      </c>
      <c r="AF79" s="9">
        <v>17.765314148848486</v>
      </c>
      <c r="AG79" s="55" t="s">
        <v>1507</v>
      </c>
      <c r="AH79" s="55" t="s">
        <v>1513</v>
      </c>
      <c r="AI79" s="9">
        <v>15.988782733963637</v>
      </c>
      <c r="AJ79" s="55" t="s">
        <v>1507</v>
      </c>
      <c r="AK79" s="58" t="s">
        <v>1539</v>
      </c>
      <c r="AL79" s="9">
        <v>15.652025992258062</v>
      </c>
      <c r="AM79" s="55" t="s">
        <v>140</v>
      </c>
      <c r="AN79" s="55" t="s">
        <v>1513</v>
      </c>
      <c r="AO79" s="9">
        <v>15.442445305435898</v>
      </c>
      <c r="AP79" s="60"/>
      <c r="AQ79" s="55" t="s">
        <v>1507</v>
      </c>
      <c r="AR79" s="9">
        <v>6.9177664748800005</v>
      </c>
      <c r="AS79" s="55" t="s">
        <v>1507</v>
      </c>
      <c r="AT79" s="9">
        <v>3.4588832374400003</v>
      </c>
      <c r="AU79" s="58" t="s">
        <v>1507</v>
      </c>
      <c r="AV79" s="9">
        <v>3.5</v>
      </c>
      <c r="AW79" s="55" t="s">
        <v>267</v>
      </c>
      <c r="AX79" s="9">
        <v>107.51979654784</v>
      </c>
      <c r="AY79" s="58" t="s">
        <v>267</v>
      </c>
      <c r="AZ79" s="9">
        <v>2.1503959309568002</v>
      </c>
      <c r="BA79" s="58" t="s">
        <v>1507</v>
      </c>
      <c r="BB79" s="58" t="s">
        <v>267</v>
      </c>
      <c r="BC79" s="9">
        <v>10.266606538120373</v>
      </c>
      <c r="BD79" s="58" t="s">
        <v>1507</v>
      </c>
      <c r="BE79" s="58" t="s">
        <v>1513</v>
      </c>
      <c r="BF79" s="9">
        <v>8.6151361021090924</v>
      </c>
      <c r="BG79" s="58" t="s">
        <v>1507</v>
      </c>
      <c r="BH79" s="55" t="s">
        <v>1539</v>
      </c>
      <c r="BI79" s="9">
        <v>7.9437449311581316</v>
      </c>
      <c r="BJ79" s="55" t="s">
        <v>140</v>
      </c>
      <c r="BK79" s="58" t="s">
        <v>267</v>
      </c>
      <c r="BL79" s="9">
        <v>7.8505680165180953</v>
      </c>
      <c r="BM79" s="55" t="s">
        <v>1507</v>
      </c>
      <c r="BN79" s="58" t="s">
        <v>106</v>
      </c>
      <c r="BO79" s="9">
        <v>7.5391785612218181</v>
      </c>
    </row>
    <row r="80" spans="1:67" x14ac:dyDescent="0.45">
      <c r="A80" s="10">
        <v>68</v>
      </c>
      <c r="B80" s="10" t="s">
        <v>268</v>
      </c>
      <c r="C80" s="58" t="s">
        <v>1903</v>
      </c>
      <c r="D80" s="65"/>
      <c r="E80" s="287" t="s">
        <v>2235</v>
      </c>
      <c r="F80" s="289" t="s">
        <v>2236</v>
      </c>
      <c r="G80" s="242"/>
      <c r="H80" s="10"/>
      <c r="I80" s="62">
        <v>196.78470249</v>
      </c>
      <c r="J80" s="62">
        <v>137.51220174000002</v>
      </c>
      <c r="K80" s="62">
        <v>175.44660222000002</v>
      </c>
      <c r="L80" s="49">
        <v>3056.5706130253084</v>
      </c>
      <c r="M80" s="49">
        <v>2824.7825480361812</v>
      </c>
      <c r="N80" s="49">
        <v>2652.0731084794234</v>
      </c>
      <c r="O80" s="61">
        <v>21.209485508963926</v>
      </c>
      <c r="P80" s="60"/>
      <c r="Q80" s="55" t="s">
        <v>45</v>
      </c>
      <c r="R80" s="9">
        <v>15.16849857928</v>
      </c>
      <c r="S80" s="55" t="s">
        <v>45</v>
      </c>
      <c r="T80" s="9">
        <v>16.853887310311109</v>
      </c>
      <c r="U80" s="55" t="s">
        <v>1507</v>
      </c>
      <c r="V80" s="9">
        <v>12.5</v>
      </c>
      <c r="W80" s="58" t="s">
        <v>216</v>
      </c>
      <c r="X80" s="9">
        <v>119.070821494</v>
      </c>
      <c r="Y80" s="58" t="s">
        <v>216</v>
      </c>
      <c r="Z80" s="9">
        <v>51.769922388695655</v>
      </c>
      <c r="AA80" s="55" t="s">
        <v>45</v>
      </c>
      <c r="AB80" s="55" t="s">
        <v>267</v>
      </c>
      <c r="AC80" s="9">
        <v>24.27229495076276</v>
      </c>
      <c r="AD80" s="58" t="s">
        <v>1507</v>
      </c>
      <c r="AE80" s="58" t="s">
        <v>267</v>
      </c>
      <c r="AF80" s="9">
        <v>23.804786260029847</v>
      </c>
      <c r="AG80" s="55" t="s">
        <v>45</v>
      </c>
      <c r="AH80" s="55" t="s">
        <v>216</v>
      </c>
      <c r="AI80" s="9">
        <v>22.590093073188569</v>
      </c>
      <c r="AJ80" s="53" t="s">
        <v>51</v>
      </c>
      <c r="AK80" s="58" t="s">
        <v>267</v>
      </c>
      <c r="AL80" s="9">
        <v>21.741707972895835</v>
      </c>
      <c r="AM80" s="55" t="s">
        <v>45</v>
      </c>
      <c r="AN80" s="55" t="s">
        <v>1513</v>
      </c>
      <c r="AO80" s="9">
        <v>21.731723069122808</v>
      </c>
      <c r="AP80" s="60"/>
      <c r="AQ80" s="55" t="s">
        <v>45</v>
      </c>
      <c r="AR80" s="9">
        <v>13.279365435376</v>
      </c>
      <c r="AS80" s="55" t="s">
        <v>45</v>
      </c>
      <c r="AT80" s="9">
        <v>6.6396827176880002</v>
      </c>
      <c r="AU80" s="58" t="s">
        <v>3458</v>
      </c>
      <c r="AV80" s="9">
        <v>3.5</v>
      </c>
      <c r="AW80" s="55" t="s">
        <v>216</v>
      </c>
      <c r="AX80" s="9">
        <v>154.49206794220001</v>
      </c>
      <c r="AY80" s="58" t="s">
        <v>216</v>
      </c>
      <c r="AZ80" s="9">
        <v>3.4331570653822223</v>
      </c>
      <c r="BA80" s="58" t="s">
        <v>45</v>
      </c>
      <c r="BB80" s="58" t="s">
        <v>216</v>
      </c>
      <c r="BC80" s="9">
        <v>17.30944247615794</v>
      </c>
      <c r="BD80" s="58" t="s">
        <v>45</v>
      </c>
      <c r="BE80" s="58" t="s">
        <v>267</v>
      </c>
      <c r="BF80" s="9">
        <v>15.308114951445422</v>
      </c>
      <c r="BG80" s="59" t="s">
        <v>51</v>
      </c>
      <c r="BH80" s="55" t="s">
        <v>216</v>
      </c>
      <c r="BI80" s="9">
        <v>15.173212664591237</v>
      </c>
      <c r="BJ80" s="55" t="s">
        <v>1507</v>
      </c>
      <c r="BK80" s="58" t="s">
        <v>216</v>
      </c>
      <c r="BL80" s="9">
        <v>15.173212664591237</v>
      </c>
      <c r="BM80" s="55" t="s">
        <v>45</v>
      </c>
      <c r="BN80" s="56" t="s">
        <v>87</v>
      </c>
      <c r="BO80" s="9">
        <v>13.955004233121196</v>
      </c>
    </row>
    <row r="81" spans="1:67" x14ac:dyDescent="0.45">
      <c r="A81" s="10">
        <v>69</v>
      </c>
      <c r="B81" s="10" t="s">
        <v>1349</v>
      </c>
      <c r="C81" s="63" t="s">
        <v>2106</v>
      </c>
      <c r="D81" s="65"/>
      <c r="E81" s="287" t="s">
        <v>2196</v>
      </c>
      <c r="F81" s="58" t="s">
        <v>2197</v>
      </c>
      <c r="G81" s="79" t="s">
        <v>1983</v>
      </c>
      <c r="H81" s="10"/>
      <c r="I81" s="62">
        <v>121.70620154000001</v>
      </c>
      <c r="J81" s="62">
        <v>60.062800760000002</v>
      </c>
      <c r="K81" s="62">
        <v>120.12560152</v>
      </c>
      <c r="L81" s="49">
        <v>1033.792282699791</v>
      </c>
      <c r="M81" s="49">
        <v>916.99980273321819</v>
      </c>
      <c r="N81" s="49">
        <v>833.1400411320426</v>
      </c>
      <c r="O81" s="61">
        <v>6.8062760669444717</v>
      </c>
      <c r="P81" s="60"/>
      <c r="Q81" s="54" t="s">
        <v>104</v>
      </c>
      <c r="R81" s="9">
        <v>7.5721348831600004</v>
      </c>
      <c r="S81" s="72" t="s">
        <v>24</v>
      </c>
      <c r="T81" s="9">
        <v>10.186100774466667</v>
      </c>
      <c r="U81" s="72" t="s">
        <v>2383</v>
      </c>
      <c r="V81" s="9">
        <v>10</v>
      </c>
      <c r="W81" s="79" t="s">
        <v>1485</v>
      </c>
      <c r="X81" s="9">
        <v>66.721348831599997</v>
      </c>
      <c r="Y81" s="64" t="s">
        <v>52</v>
      </c>
      <c r="Z81" s="9">
        <v>31.855121813571433</v>
      </c>
      <c r="AA81" s="72" t="s">
        <v>24</v>
      </c>
      <c r="AB81" s="72" t="s">
        <v>1485</v>
      </c>
      <c r="AC81" s="9">
        <v>15.480506934728069</v>
      </c>
      <c r="AD81" s="79" t="s">
        <v>24</v>
      </c>
      <c r="AE81" s="63" t="s">
        <v>124</v>
      </c>
      <c r="AF81" s="9">
        <v>15.116367207059362</v>
      </c>
      <c r="AG81" s="54" t="s">
        <v>104</v>
      </c>
      <c r="AH81" s="72" t="s">
        <v>1485</v>
      </c>
      <c r="AI81" s="9">
        <v>15.006209454124997</v>
      </c>
      <c r="AJ81" s="54" t="s">
        <v>104</v>
      </c>
      <c r="AK81" s="63" t="s">
        <v>124</v>
      </c>
      <c r="AL81" s="9">
        <v>14.622578049171233</v>
      </c>
      <c r="AM81" s="72" t="s">
        <v>24</v>
      </c>
      <c r="AN81" s="15" t="s">
        <v>52</v>
      </c>
      <c r="AO81" s="9">
        <v>13.946839963071627</v>
      </c>
      <c r="AP81" s="60"/>
      <c r="AQ81" s="54" t="s">
        <v>104</v>
      </c>
      <c r="AR81" s="9">
        <v>6.6958502320720008</v>
      </c>
      <c r="AS81" s="54" t="s">
        <v>104</v>
      </c>
      <c r="AT81" s="9">
        <v>3.3479251160360004</v>
      </c>
      <c r="AU81" s="79" t="s">
        <v>24</v>
      </c>
      <c r="AV81" s="9">
        <v>4</v>
      </c>
      <c r="AW81" s="15" t="s">
        <v>52</v>
      </c>
      <c r="AX81" s="9">
        <v>103.84174030130001</v>
      </c>
      <c r="AY81" s="79" t="s">
        <v>1485</v>
      </c>
      <c r="AZ81" s="9">
        <v>1.7287550696216001</v>
      </c>
      <c r="BA81" s="79" t="s">
        <v>24</v>
      </c>
      <c r="BB81" s="79" t="s">
        <v>1485</v>
      </c>
      <c r="BC81" s="9">
        <v>9.06323260047815</v>
      </c>
      <c r="BD81" s="79" t="s">
        <v>24</v>
      </c>
      <c r="BE81" s="63" t="s">
        <v>124</v>
      </c>
      <c r="BF81" s="9">
        <v>8.3600412138025941</v>
      </c>
      <c r="BG81" s="79" t="s">
        <v>24</v>
      </c>
      <c r="BH81" s="15" t="s">
        <v>52</v>
      </c>
      <c r="BI81" s="9">
        <v>8.3310260311797304</v>
      </c>
      <c r="BJ81" s="54" t="s">
        <v>104</v>
      </c>
      <c r="BK81" s="79" t="s">
        <v>1485</v>
      </c>
      <c r="BL81" s="9">
        <v>7.3045836096095247</v>
      </c>
      <c r="BM81" s="54" t="s">
        <v>104</v>
      </c>
      <c r="BN81" s="63" t="s">
        <v>124</v>
      </c>
      <c r="BO81" s="9">
        <v>6.8525320038895252</v>
      </c>
    </row>
    <row r="82" spans="1:67" x14ac:dyDescent="0.45">
      <c r="A82" s="10">
        <v>70</v>
      </c>
      <c r="B82" s="10" t="s">
        <v>1347</v>
      </c>
      <c r="C82" s="63" t="s">
        <v>2106</v>
      </c>
      <c r="D82" s="65"/>
      <c r="E82" s="287" t="s">
        <v>2196</v>
      </c>
      <c r="F82" s="58" t="s">
        <v>2197</v>
      </c>
      <c r="G82" s="79" t="s">
        <v>1983</v>
      </c>
      <c r="H82" s="10"/>
      <c r="I82" s="62">
        <v>147.78610187000001</v>
      </c>
      <c r="J82" s="62">
        <v>84.562101070000011</v>
      </c>
      <c r="K82" s="62">
        <v>140.67340178000001</v>
      </c>
      <c r="L82" s="49">
        <v>1611.8605695382437</v>
      </c>
      <c r="M82" s="49">
        <v>1456.6243507571471</v>
      </c>
      <c r="N82" s="49">
        <v>1343.2710082000131</v>
      </c>
      <c r="O82" s="61">
        <v>10.968148718681171</v>
      </c>
      <c r="P82" s="60"/>
      <c r="Q82" s="72" t="s">
        <v>64</v>
      </c>
      <c r="R82" s="9">
        <v>12.52731594586</v>
      </c>
      <c r="S82" s="72" t="s">
        <v>64</v>
      </c>
      <c r="T82" s="9">
        <v>12.52731594586</v>
      </c>
      <c r="U82" s="72" t="s">
        <v>225</v>
      </c>
      <c r="V82" s="9">
        <v>12.727</v>
      </c>
      <c r="W82" s="79" t="s">
        <v>1485</v>
      </c>
      <c r="X82" s="9">
        <v>80.804495009800007</v>
      </c>
      <c r="Y82" s="64" t="s">
        <v>52</v>
      </c>
      <c r="Z82" s="9">
        <v>38.375096896071433</v>
      </c>
      <c r="AA82" s="54" t="s">
        <v>104</v>
      </c>
      <c r="AB82" s="72" t="s">
        <v>1485</v>
      </c>
      <c r="AC82" s="9">
        <v>18.017408472490132</v>
      </c>
      <c r="AD82" s="63" t="s">
        <v>104</v>
      </c>
      <c r="AE82" s="63" t="s">
        <v>124</v>
      </c>
      <c r="AF82" s="9">
        <v>17.5431696272226</v>
      </c>
      <c r="AG82" s="72" t="s">
        <v>64</v>
      </c>
      <c r="AH82" s="72" t="s">
        <v>1485</v>
      </c>
      <c r="AI82" s="9">
        <v>17.477965723777125</v>
      </c>
      <c r="AJ82" s="72" t="s">
        <v>64</v>
      </c>
      <c r="AK82" s="63" t="s">
        <v>124</v>
      </c>
      <c r="AL82" s="9">
        <v>17.094207255313162</v>
      </c>
      <c r="AM82" s="72" t="s">
        <v>225</v>
      </c>
      <c r="AN82" s="72" t="s">
        <v>1485</v>
      </c>
      <c r="AO82" s="9">
        <v>16.804699941194748</v>
      </c>
      <c r="AP82" s="60"/>
      <c r="AQ82" s="72" t="s">
        <v>64</v>
      </c>
      <c r="AR82" s="9">
        <v>13.680047540446001</v>
      </c>
      <c r="AS82" s="72" t="s">
        <v>64</v>
      </c>
      <c r="AT82" s="9">
        <v>6.8400237702230005</v>
      </c>
      <c r="AU82" s="79" t="s">
        <v>225</v>
      </c>
      <c r="AV82" s="9">
        <v>3.6666666666666998</v>
      </c>
      <c r="AW82" s="15" t="s">
        <v>52</v>
      </c>
      <c r="AX82" s="9">
        <v>125.87925608015001</v>
      </c>
      <c r="AY82" s="79" t="s">
        <v>1485</v>
      </c>
      <c r="AZ82" s="9">
        <v>2.0949168702548002</v>
      </c>
      <c r="BA82" s="79" t="s">
        <v>64</v>
      </c>
      <c r="BB82" s="79" t="s">
        <v>1485</v>
      </c>
      <c r="BC82" s="9">
        <v>10.60563222185827</v>
      </c>
      <c r="BD82" s="79" t="s">
        <v>64</v>
      </c>
      <c r="BE82" s="63" t="s">
        <v>124</v>
      </c>
      <c r="BF82" s="9">
        <v>10.162273916248269</v>
      </c>
      <c r="BG82" s="79" t="s">
        <v>64</v>
      </c>
      <c r="BH82" s="15" t="s">
        <v>52</v>
      </c>
      <c r="BI82" s="9">
        <v>10.146669112165418</v>
      </c>
      <c r="BJ82" s="72" t="s">
        <v>64</v>
      </c>
      <c r="BK82" s="79" t="s">
        <v>264</v>
      </c>
      <c r="BL82" s="9">
        <v>9.5809863384138101</v>
      </c>
      <c r="BM82" s="72" t="s">
        <v>225</v>
      </c>
      <c r="BN82" s="79" t="s">
        <v>1485</v>
      </c>
      <c r="BO82" s="9">
        <v>9.2570632129604977</v>
      </c>
    </row>
    <row r="83" spans="1:67" x14ac:dyDescent="0.45">
      <c r="A83" s="10">
        <v>71</v>
      </c>
      <c r="B83" s="10" t="s">
        <v>157</v>
      </c>
      <c r="C83" s="63" t="s">
        <v>2106</v>
      </c>
      <c r="D83" s="65"/>
      <c r="E83" s="287" t="s">
        <v>2196</v>
      </c>
      <c r="F83" s="58" t="s">
        <v>2197</v>
      </c>
      <c r="G83" s="79" t="s">
        <v>1983</v>
      </c>
      <c r="H83" s="10"/>
      <c r="I83" s="62">
        <v>175.44660222000002</v>
      </c>
      <c r="J83" s="62">
        <v>118.54500150000001</v>
      </c>
      <c r="K83" s="62">
        <v>162.01150205000002</v>
      </c>
      <c r="L83" s="49">
        <v>2431.417338711492</v>
      </c>
      <c r="M83" s="49">
        <v>2247.584549159842</v>
      </c>
      <c r="N83" s="49">
        <v>2110.577289791886</v>
      </c>
      <c r="O83" s="61">
        <v>17.170211057918269</v>
      </c>
      <c r="P83" s="60"/>
      <c r="Q83" s="72" t="s">
        <v>64</v>
      </c>
      <c r="R83" s="9">
        <v>14.684834973160001</v>
      </c>
      <c r="S83" s="72" t="s">
        <v>64</v>
      </c>
      <c r="T83" s="9">
        <v>14.684834973160001</v>
      </c>
      <c r="U83" s="54" t="s">
        <v>104</v>
      </c>
      <c r="V83" s="9">
        <v>10</v>
      </c>
      <c r="W83" s="79" t="s">
        <v>9</v>
      </c>
      <c r="X83" s="9">
        <v>190.48233039760001</v>
      </c>
      <c r="Y83" s="64" t="s">
        <v>52</v>
      </c>
      <c r="Z83" s="9">
        <v>45.290221983571435</v>
      </c>
      <c r="AA83" s="54" t="s">
        <v>104</v>
      </c>
      <c r="AB83" s="72" t="s">
        <v>9</v>
      </c>
      <c r="AC83" s="9">
        <v>21.349401644185622</v>
      </c>
      <c r="AD83" s="79" t="s">
        <v>64</v>
      </c>
      <c r="AE83" s="79" t="s">
        <v>9</v>
      </c>
      <c r="AF83" s="9">
        <v>20.640947487185933</v>
      </c>
      <c r="AG83" s="54" t="s">
        <v>104</v>
      </c>
      <c r="AH83" s="54" t="s">
        <v>124</v>
      </c>
      <c r="AI83" s="9">
        <v>20.640766755458905</v>
      </c>
      <c r="AJ83" s="54" t="s">
        <v>104</v>
      </c>
      <c r="AK83" s="79" t="s">
        <v>169</v>
      </c>
      <c r="AL83" s="9">
        <v>20.638905540447674</v>
      </c>
      <c r="AM83" s="72" t="s">
        <v>64</v>
      </c>
      <c r="AN83" s="72" t="s">
        <v>169</v>
      </c>
      <c r="AO83" s="9">
        <v>20.1923040485133</v>
      </c>
      <c r="AP83" s="60"/>
      <c r="AQ83" s="72" t="s">
        <v>64</v>
      </c>
      <c r="AR83" s="9">
        <v>16.053318470476</v>
      </c>
      <c r="AS83" s="72" t="s">
        <v>64</v>
      </c>
      <c r="AT83" s="9">
        <v>8.0266592352380002</v>
      </c>
      <c r="AU83" s="63" t="s">
        <v>104</v>
      </c>
      <c r="AV83" s="9">
        <v>2.5</v>
      </c>
      <c r="AW83" s="72" t="s">
        <v>9</v>
      </c>
      <c r="AX83" s="9">
        <v>206.27252459740004</v>
      </c>
      <c r="AY83" s="79" t="s">
        <v>169</v>
      </c>
      <c r="AZ83" s="9">
        <v>2.765538423203429</v>
      </c>
      <c r="BA83" s="79" t="s">
        <v>64</v>
      </c>
      <c r="BB83" s="79" t="s">
        <v>9</v>
      </c>
      <c r="BC83" s="9">
        <v>12.861924244071222</v>
      </c>
      <c r="BD83" s="79" t="s">
        <v>64</v>
      </c>
      <c r="BE83" s="79" t="s">
        <v>169</v>
      </c>
      <c r="BF83" s="9">
        <v>12.824885482637029</v>
      </c>
      <c r="BG83" s="79" t="s">
        <v>64</v>
      </c>
      <c r="BH83" s="54" t="s">
        <v>124</v>
      </c>
      <c r="BI83" s="9">
        <v>11.967121564085771</v>
      </c>
      <c r="BJ83" s="72" t="s">
        <v>64</v>
      </c>
      <c r="BK83" s="64" t="s">
        <v>52</v>
      </c>
      <c r="BL83" s="9">
        <v>11.949595891923057</v>
      </c>
      <c r="BM83" s="54" t="s">
        <v>104</v>
      </c>
      <c r="BN83" s="79" t="s">
        <v>169</v>
      </c>
      <c r="BO83" s="9">
        <v>10.751343446626134</v>
      </c>
    </row>
    <row r="84" spans="1:67" x14ac:dyDescent="0.45">
      <c r="A84" s="10">
        <v>72</v>
      </c>
      <c r="B84" s="10" t="s">
        <v>1345</v>
      </c>
      <c r="C84" s="63" t="s">
        <v>2121</v>
      </c>
      <c r="D84" s="65"/>
      <c r="E84" s="80" t="s">
        <v>2240</v>
      </c>
      <c r="F84" s="58" t="s">
        <v>2241</v>
      </c>
      <c r="G84" s="242"/>
      <c r="H84" s="10"/>
      <c r="I84" s="62">
        <v>88.513601120000004</v>
      </c>
      <c r="J84" s="62">
        <v>129.60920164000001</v>
      </c>
      <c r="K84" s="62">
        <v>106.69050135000001</v>
      </c>
      <c r="L84" s="49">
        <v>1040.8563733346691</v>
      </c>
      <c r="M84" s="49">
        <v>1144.232821437085</v>
      </c>
      <c r="N84" s="49">
        <v>1234.2788215051851</v>
      </c>
      <c r="O84" s="61">
        <v>12.241464289126577</v>
      </c>
      <c r="P84" s="60"/>
      <c r="Q84" s="73" t="s">
        <v>214</v>
      </c>
      <c r="R84" s="9">
        <v>7.3729792806400001</v>
      </c>
      <c r="S84" s="73" t="s">
        <v>214</v>
      </c>
      <c r="T84" s="9">
        <v>6.1441494005333332</v>
      </c>
      <c r="U84" s="73" t="s">
        <v>2384</v>
      </c>
      <c r="V84" s="9">
        <v>11.667</v>
      </c>
      <c r="W84" s="288" t="s">
        <v>238</v>
      </c>
      <c r="X84" s="9">
        <v>38.175712470400001</v>
      </c>
      <c r="Y84" s="288" t="s">
        <v>1524</v>
      </c>
      <c r="Z84" s="9">
        <v>13.104564369684212</v>
      </c>
      <c r="AA84" s="73" t="s">
        <v>214</v>
      </c>
      <c r="AB84" s="73" t="s">
        <v>1524</v>
      </c>
      <c r="AC84" s="9">
        <v>8.9241349587827834</v>
      </c>
      <c r="AD84" s="63" t="s">
        <v>92</v>
      </c>
      <c r="AE84" s="288" t="s">
        <v>1524</v>
      </c>
      <c r="AF84" s="9">
        <v>8.8930222393433436</v>
      </c>
      <c r="AG84" s="73" t="s">
        <v>214</v>
      </c>
      <c r="AH84" s="73" t="s">
        <v>238</v>
      </c>
      <c r="AI84" s="9">
        <v>8.6174517043664132</v>
      </c>
      <c r="AJ84" s="54" t="s">
        <v>92</v>
      </c>
      <c r="AK84" s="288" t="s">
        <v>238</v>
      </c>
      <c r="AL84" s="9">
        <v>8.5877936826870247</v>
      </c>
      <c r="AM84" s="73" t="s">
        <v>214</v>
      </c>
      <c r="AN84" s="15" t="s">
        <v>1495</v>
      </c>
      <c r="AO84" s="9">
        <v>7.8352742025475601</v>
      </c>
      <c r="AP84" s="60"/>
      <c r="AQ84" s="73" t="s">
        <v>214</v>
      </c>
      <c r="AR84" s="9">
        <v>6.5232487098880005</v>
      </c>
      <c r="AS84" s="73" t="s">
        <v>214</v>
      </c>
      <c r="AT84" s="9">
        <v>2.1744162366293334</v>
      </c>
      <c r="AU84" s="288" t="s">
        <v>214</v>
      </c>
      <c r="AV84" s="9">
        <v>3.6666666666666998</v>
      </c>
      <c r="AW84" s="73" t="s">
        <v>238</v>
      </c>
      <c r="AX84" s="9">
        <v>49.328426211520004</v>
      </c>
      <c r="AY84" s="288" t="s">
        <v>238</v>
      </c>
      <c r="AZ84" s="9">
        <v>0.82214043685866678</v>
      </c>
      <c r="BA84" s="288" t="s">
        <v>214</v>
      </c>
      <c r="BB84" s="288" t="s">
        <v>238</v>
      </c>
      <c r="BC84" s="9">
        <v>4.8900922037696333</v>
      </c>
      <c r="BD84" s="288" t="s">
        <v>214</v>
      </c>
      <c r="BE84" s="64" t="s">
        <v>1495</v>
      </c>
      <c r="BF84" s="9">
        <v>4.6867776763682194</v>
      </c>
      <c r="BG84" s="63" t="s">
        <v>92</v>
      </c>
      <c r="BH84" s="73" t="s">
        <v>238</v>
      </c>
      <c r="BI84" s="9">
        <v>3.811457565409524</v>
      </c>
      <c r="BJ84" s="54" t="s">
        <v>92</v>
      </c>
      <c r="BK84" s="64" t="s">
        <v>1495</v>
      </c>
      <c r="BL84" s="9">
        <v>3.6596525895850003</v>
      </c>
      <c r="BM84" s="73" t="s">
        <v>214</v>
      </c>
      <c r="BN84" s="288" t="s">
        <v>1524</v>
      </c>
      <c r="BO84" s="9">
        <v>3.5251268915871758</v>
      </c>
    </row>
    <row r="85" spans="1:67" x14ac:dyDescent="0.45">
      <c r="A85" s="10">
        <v>73</v>
      </c>
      <c r="B85" s="10" t="s">
        <v>172</v>
      </c>
      <c r="C85" s="63" t="s">
        <v>2121</v>
      </c>
      <c r="D85" s="65"/>
      <c r="E85" s="80" t="s">
        <v>2240</v>
      </c>
      <c r="F85" s="58" t="s">
        <v>2241</v>
      </c>
      <c r="G85" s="242"/>
      <c r="H85" s="10"/>
      <c r="I85" s="62">
        <v>143.04430181000001</v>
      </c>
      <c r="J85" s="62">
        <v>177.02720224000001</v>
      </c>
      <c r="K85" s="62">
        <v>162.01150205000002</v>
      </c>
      <c r="L85" s="49">
        <v>2422.498347293576</v>
      </c>
      <c r="M85" s="49">
        <v>2562.7384077163274</v>
      </c>
      <c r="N85" s="49">
        <v>2680.7536645106006</v>
      </c>
      <c r="O85" s="61">
        <v>24.366848008295637</v>
      </c>
      <c r="P85" s="60"/>
      <c r="Q85" s="54" t="s">
        <v>171</v>
      </c>
      <c r="R85" s="9">
        <v>9.5826581086000004</v>
      </c>
      <c r="S85" s="54" t="s">
        <v>171</v>
      </c>
      <c r="T85" s="9">
        <v>11.978322635750001</v>
      </c>
      <c r="U85" s="54" t="s">
        <v>104</v>
      </c>
      <c r="V85" s="9">
        <v>10</v>
      </c>
      <c r="W85" s="288" t="s">
        <v>197</v>
      </c>
      <c r="X85" s="9">
        <v>112.57455541180001</v>
      </c>
      <c r="Y85" s="288" t="s">
        <v>197</v>
      </c>
      <c r="Z85" s="9">
        <v>34.1135016399394</v>
      </c>
      <c r="AA85" s="54" t="s">
        <v>171</v>
      </c>
      <c r="AB85" s="73" t="s">
        <v>197</v>
      </c>
      <c r="AC85" s="9">
        <v>16.752576930771241</v>
      </c>
      <c r="AD85" s="63" t="s">
        <v>104</v>
      </c>
      <c r="AE85" s="288" t="s">
        <v>197</v>
      </c>
      <c r="AF85" s="9">
        <v>16.495741261490508</v>
      </c>
      <c r="AG85" s="54" t="s">
        <v>171</v>
      </c>
      <c r="AH85" s="74" t="s">
        <v>132</v>
      </c>
      <c r="AI85" s="9">
        <v>15.742958132814568</v>
      </c>
      <c r="AJ85" s="54" t="s">
        <v>171</v>
      </c>
      <c r="AK85" s="63" t="s">
        <v>167</v>
      </c>
      <c r="AL85" s="9">
        <v>15.733494133131579</v>
      </c>
      <c r="AM85" s="54" t="s">
        <v>104</v>
      </c>
      <c r="AN85" s="74" t="s">
        <v>132</v>
      </c>
      <c r="AO85" s="9">
        <v>15.362658966453333</v>
      </c>
      <c r="AP85" s="60"/>
      <c r="AQ85" s="54" t="s">
        <v>2459</v>
      </c>
      <c r="AR85" s="9">
        <v>7.6944733247080004</v>
      </c>
      <c r="AS85" s="54" t="s">
        <v>2459</v>
      </c>
      <c r="AT85" s="9">
        <v>3.8472366623540002</v>
      </c>
      <c r="AU85" s="63" t="s">
        <v>171</v>
      </c>
      <c r="AV85" s="9">
        <v>3.5</v>
      </c>
      <c r="AW85" s="73" t="s">
        <v>197</v>
      </c>
      <c r="AX85" s="9">
        <v>146.04692203534</v>
      </c>
      <c r="AY85" s="288" t="s">
        <v>197</v>
      </c>
      <c r="AZ85" s="9">
        <v>1.9472922938045334</v>
      </c>
      <c r="BA85" s="63" t="s">
        <v>171</v>
      </c>
      <c r="BB85" s="288" t="s">
        <v>197</v>
      </c>
      <c r="BC85" s="9">
        <v>10.187350022932995</v>
      </c>
      <c r="BD85" s="63" t="s">
        <v>171</v>
      </c>
      <c r="BE85" s="63" t="s">
        <v>167</v>
      </c>
      <c r="BF85" s="9">
        <v>9.9727360786633579</v>
      </c>
      <c r="BG85" s="63" t="s">
        <v>171</v>
      </c>
      <c r="BH85" s="74" t="s">
        <v>132</v>
      </c>
      <c r="BI85" s="9">
        <v>9.1095066532436313</v>
      </c>
      <c r="BJ85" s="54" t="s">
        <v>104</v>
      </c>
      <c r="BK85" s="288" t="s">
        <v>197</v>
      </c>
      <c r="BL85" s="9">
        <v>8.4343232872890326</v>
      </c>
      <c r="BM85" s="54" t="s">
        <v>104</v>
      </c>
      <c r="BN85" s="63" t="s">
        <v>167</v>
      </c>
      <c r="BO85" s="9">
        <v>8.2874134879327404</v>
      </c>
    </row>
    <row r="86" spans="1:67" x14ac:dyDescent="0.45">
      <c r="A86" s="10">
        <v>74</v>
      </c>
      <c r="B86" s="10" t="s">
        <v>1338</v>
      </c>
      <c r="C86" s="80" t="s">
        <v>2122</v>
      </c>
      <c r="D86" s="288" t="s">
        <v>2161</v>
      </c>
      <c r="E86" s="58" t="s">
        <v>2242</v>
      </c>
      <c r="F86" s="64" t="s">
        <v>2243</v>
      </c>
      <c r="G86" s="63" t="s">
        <v>2220</v>
      </c>
      <c r="H86" s="10"/>
      <c r="I86" s="62">
        <v>116.17410147000001</v>
      </c>
      <c r="J86" s="62">
        <v>116.17410147000001</v>
      </c>
      <c r="K86" s="62">
        <v>106.69050135000001</v>
      </c>
      <c r="L86" s="49">
        <v>1293.3821449240606</v>
      </c>
      <c r="M86" s="49">
        <v>1275.1548690031743</v>
      </c>
      <c r="N86" s="49">
        <v>1260.7581705674597</v>
      </c>
      <c r="O86" s="61">
        <v>11.104605556961323</v>
      </c>
      <c r="P86" s="60"/>
      <c r="Q86" s="52" t="s">
        <v>41</v>
      </c>
      <c r="R86" s="9">
        <v>9.3645353058400005</v>
      </c>
      <c r="S86" s="52" t="s">
        <v>41</v>
      </c>
      <c r="T86" s="9">
        <v>10.405039228711111</v>
      </c>
      <c r="U86" s="15" t="s">
        <v>127</v>
      </c>
      <c r="V86" s="9">
        <v>10</v>
      </c>
      <c r="W86" s="80" t="s">
        <v>1490</v>
      </c>
      <c r="X86" s="9">
        <v>70.704460882000006</v>
      </c>
      <c r="Y86" s="56" t="s">
        <v>40</v>
      </c>
      <c r="Z86" s="9">
        <v>21.023543965037035</v>
      </c>
      <c r="AA86" s="52" t="s">
        <v>41</v>
      </c>
      <c r="AB86" s="52" t="s">
        <v>40</v>
      </c>
      <c r="AC86" s="9">
        <v>13.545723728187792</v>
      </c>
      <c r="AD86" s="64" t="s">
        <v>127</v>
      </c>
      <c r="AE86" s="56" t="s">
        <v>40</v>
      </c>
      <c r="AF86" s="9">
        <v>12.442479749753247</v>
      </c>
      <c r="AG86" s="52" t="s">
        <v>41</v>
      </c>
      <c r="AH86" s="71" t="s">
        <v>1490</v>
      </c>
      <c r="AI86" s="9">
        <v>12.364030699178434</v>
      </c>
      <c r="AJ86" s="52" t="s">
        <v>41</v>
      </c>
      <c r="AK86" s="56" t="s">
        <v>1488</v>
      </c>
      <c r="AL86" s="9">
        <v>12.118377204952521</v>
      </c>
      <c r="AM86" s="15" t="s">
        <v>127</v>
      </c>
      <c r="AN86" s="71" t="s">
        <v>1490</v>
      </c>
      <c r="AO86" s="9">
        <v>11.314225386546394</v>
      </c>
      <c r="AP86" s="60"/>
      <c r="AQ86" s="52" t="s">
        <v>41</v>
      </c>
      <c r="AR86" s="9">
        <v>8.2492639317280005</v>
      </c>
      <c r="AS86" s="52" t="s">
        <v>41</v>
      </c>
      <c r="AT86" s="9">
        <v>4.1246319658640003</v>
      </c>
      <c r="AU86" s="56" t="s">
        <v>41</v>
      </c>
      <c r="AV86" s="9">
        <v>2.5</v>
      </c>
      <c r="AW86" s="71" t="s">
        <v>1490</v>
      </c>
      <c r="AX86" s="9">
        <v>91.615799146600011</v>
      </c>
      <c r="AY86" s="56" t="s">
        <v>40</v>
      </c>
      <c r="AZ86" s="9">
        <v>1.6331697626062225</v>
      </c>
      <c r="BA86" s="56" t="s">
        <v>41</v>
      </c>
      <c r="BB86" s="56" t="s">
        <v>40</v>
      </c>
      <c r="BC86" s="9">
        <v>7.7755797212016855</v>
      </c>
      <c r="BD86" s="56" t="s">
        <v>41</v>
      </c>
      <c r="BE86" s="80" t="s">
        <v>1490</v>
      </c>
      <c r="BF86" s="9">
        <v>6.7758794561893341</v>
      </c>
      <c r="BG86" s="56" t="s">
        <v>41</v>
      </c>
      <c r="BH86" s="52" t="s">
        <v>1488</v>
      </c>
      <c r="BI86" s="9">
        <v>6.5368890633342405</v>
      </c>
      <c r="BJ86" s="15" t="s">
        <v>127</v>
      </c>
      <c r="BK86" s="56" t="s">
        <v>40</v>
      </c>
      <c r="BL86" s="9">
        <v>6.2537883547762769</v>
      </c>
      <c r="BM86" s="15" t="s">
        <v>127</v>
      </c>
      <c r="BN86" s="80" t="s">
        <v>1490</v>
      </c>
      <c r="BO86" s="9">
        <v>5.4202828852000007</v>
      </c>
    </row>
    <row r="87" spans="1:67" x14ac:dyDescent="0.45">
      <c r="A87" s="10">
        <v>74</v>
      </c>
      <c r="B87" s="10" t="s">
        <v>1340</v>
      </c>
      <c r="C87" s="56" t="s">
        <v>2123</v>
      </c>
      <c r="D87" s="80" t="s">
        <v>1892</v>
      </c>
      <c r="E87" s="58" t="s">
        <v>2244</v>
      </c>
      <c r="F87" s="64" t="s">
        <v>2245</v>
      </c>
      <c r="G87" s="287" t="s">
        <v>1890</v>
      </c>
      <c r="H87" s="10"/>
      <c r="I87" s="62">
        <v>116.17410147000001</v>
      </c>
      <c r="J87" s="62">
        <v>116.17410147000001</v>
      </c>
      <c r="K87" s="62">
        <v>106.69050135000001</v>
      </c>
      <c r="L87" s="49">
        <v>1293.3821449240606</v>
      </c>
      <c r="M87" s="49">
        <v>1275.1548690031743</v>
      </c>
      <c r="N87" s="49">
        <v>1260.7581705674597</v>
      </c>
      <c r="O87" s="61">
        <v>11.104605556961323</v>
      </c>
      <c r="P87" s="60"/>
      <c r="Q87" s="51" t="s">
        <v>1484</v>
      </c>
      <c r="R87" s="9">
        <v>14.9408921764</v>
      </c>
      <c r="S87" s="52" t="s">
        <v>41</v>
      </c>
      <c r="T87" s="9">
        <v>10.405039228711111</v>
      </c>
      <c r="U87" s="51" t="s">
        <v>1484</v>
      </c>
      <c r="V87" s="9">
        <v>10.87</v>
      </c>
      <c r="W87" s="290" t="s">
        <v>2385</v>
      </c>
      <c r="X87" s="9">
        <v>56.763568705600001</v>
      </c>
      <c r="Y87" s="290" t="s">
        <v>182</v>
      </c>
      <c r="Z87" s="9">
        <v>22.705427482240001</v>
      </c>
      <c r="AA87" s="52" t="s">
        <v>41</v>
      </c>
      <c r="AB87" s="51" t="s">
        <v>182</v>
      </c>
      <c r="AC87" s="9">
        <v>13.849147939699201</v>
      </c>
      <c r="AD87" s="56" t="s">
        <v>41</v>
      </c>
      <c r="AE87" s="56" t="s">
        <v>40</v>
      </c>
      <c r="AF87" s="9">
        <v>13.545723728187792</v>
      </c>
      <c r="AG87" s="51" t="s">
        <v>1484</v>
      </c>
      <c r="AH87" s="51" t="s">
        <v>182</v>
      </c>
      <c r="AI87" s="9">
        <v>12.203570853295776</v>
      </c>
      <c r="AJ87" s="52" t="s">
        <v>41</v>
      </c>
      <c r="AK87" s="56" t="s">
        <v>1488</v>
      </c>
      <c r="AL87" s="9">
        <v>12.118377204952521</v>
      </c>
      <c r="AM87" s="51" t="s">
        <v>1484</v>
      </c>
      <c r="AN87" s="52" t="s">
        <v>40</v>
      </c>
      <c r="AO87" s="9">
        <v>11.869226446356166</v>
      </c>
      <c r="AP87" s="60"/>
      <c r="AQ87" s="51" t="s">
        <v>1484</v>
      </c>
      <c r="AR87" s="9">
        <v>11.873895897592002</v>
      </c>
      <c r="AS87" s="52" t="s">
        <v>41</v>
      </c>
      <c r="AT87" s="9">
        <v>4.1246319658640003</v>
      </c>
      <c r="AU87" s="56" t="s">
        <v>41</v>
      </c>
      <c r="AV87" s="9">
        <v>2.5</v>
      </c>
      <c r="AW87" s="51" t="s">
        <v>182</v>
      </c>
      <c r="AX87" s="9">
        <v>82.55421923194001</v>
      </c>
      <c r="AY87" s="56" t="s">
        <v>40</v>
      </c>
      <c r="AZ87" s="9">
        <v>1.6331697626062225</v>
      </c>
      <c r="BA87" s="56" t="s">
        <v>41</v>
      </c>
      <c r="BB87" s="56" t="s">
        <v>40</v>
      </c>
      <c r="BC87" s="9">
        <v>7.7755797212016855</v>
      </c>
      <c r="BD87" s="56" t="s">
        <v>41</v>
      </c>
      <c r="BE87" s="290" t="s">
        <v>182</v>
      </c>
      <c r="BF87" s="9">
        <v>7.5346140209107828</v>
      </c>
      <c r="BG87" s="56" t="s">
        <v>41</v>
      </c>
      <c r="BH87" s="52" t="s">
        <v>1488</v>
      </c>
      <c r="BI87" s="9">
        <v>6.5368890633342405</v>
      </c>
      <c r="BJ87" s="51" t="s">
        <v>1484</v>
      </c>
      <c r="BK87" s="56" t="s">
        <v>40</v>
      </c>
      <c r="BL87" s="9">
        <v>5.4010711002742129</v>
      </c>
      <c r="BM87" s="51" t="s">
        <v>1484</v>
      </c>
      <c r="BN87" s="290" t="s">
        <v>182</v>
      </c>
      <c r="BO87" s="9">
        <v>5.1880928655682812</v>
      </c>
    </row>
    <row r="88" spans="1:67" x14ac:dyDescent="0.45">
      <c r="A88" s="10">
        <v>75</v>
      </c>
      <c r="B88" s="10" t="s">
        <v>1334</v>
      </c>
      <c r="C88" s="80" t="s">
        <v>2122</v>
      </c>
      <c r="D88" s="288" t="s">
        <v>2161</v>
      </c>
      <c r="E88" s="58" t="s">
        <v>2242</v>
      </c>
      <c r="F88" s="64" t="s">
        <v>2243</v>
      </c>
      <c r="G88" s="63" t="s">
        <v>2220</v>
      </c>
      <c r="H88" s="10"/>
      <c r="I88" s="62">
        <v>141.46370179000002</v>
      </c>
      <c r="J88" s="62">
        <v>141.46370179000002</v>
      </c>
      <c r="K88" s="62">
        <v>127.23830161000001</v>
      </c>
      <c r="L88" s="49">
        <v>1897.9136939309756</v>
      </c>
      <c r="M88" s="49">
        <v>1864.6840966338434</v>
      </c>
      <c r="N88" s="49">
        <v>1838.5198063141331</v>
      </c>
      <c r="O88" s="61">
        <v>15.768877386987274</v>
      </c>
      <c r="P88" s="60"/>
      <c r="Q88" s="71" t="s">
        <v>80</v>
      </c>
      <c r="R88" s="9">
        <v>16.27807979332</v>
      </c>
      <c r="S88" s="52" t="s">
        <v>41</v>
      </c>
      <c r="T88" s="9">
        <v>12.428207254311111</v>
      </c>
      <c r="U88" s="71" t="s">
        <v>80</v>
      </c>
      <c r="V88" s="9">
        <v>8.5709999999999997</v>
      </c>
      <c r="W88" s="80" t="s">
        <v>2386</v>
      </c>
      <c r="X88" s="9">
        <v>85.87822107400001</v>
      </c>
      <c r="Y88" s="56" t="s">
        <v>87</v>
      </c>
      <c r="Z88" s="9">
        <v>37.338356988695658</v>
      </c>
      <c r="AA88" s="52" t="s">
        <v>41</v>
      </c>
      <c r="AB88" s="52" t="s">
        <v>40</v>
      </c>
      <c r="AC88" s="9">
        <v>16.300271744262911</v>
      </c>
      <c r="AD88" s="56" t="s">
        <v>41</v>
      </c>
      <c r="AE88" s="56" t="s">
        <v>87</v>
      </c>
      <c r="AF88" s="9">
        <v>16.054368291594937</v>
      </c>
      <c r="AG88" s="71" t="s">
        <v>80</v>
      </c>
      <c r="AH88" s="52" t="s">
        <v>40</v>
      </c>
      <c r="AI88" s="9">
        <v>16.022801874769531</v>
      </c>
      <c r="AJ88" s="71" t="s">
        <v>80</v>
      </c>
      <c r="AK88" s="56" t="s">
        <v>87</v>
      </c>
      <c r="AL88" s="9">
        <v>15.596036188851008</v>
      </c>
      <c r="AM88" s="52" t="s">
        <v>41</v>
      </c>
      <c r="AN88" s="52" t="s">
        <v>286</v>
      </c>
      <c r="AO88" s="9">
        <v>15.143623968419091</v>
      </c>
      <c r="AP88" s="60"/>
      <c r="AQ88" s="71" t="s">
        <v>80</v>
      </c>
      <c r="AR88" s="9">
        <v>13.137585613582003</v>
      </c>
      <c r="AS88" s="52" t="s">
        <v>41</v>
      </c>
      <c r="AT88" s="9">
        <v>4.9136674958480002</v>
      </c>
      <c r="AU88" s="80" t="s">
        <v>80</v>
      </c>
      <c r="AV88" s="9">
        <v>2.6666666666666998</v>
      </c>
      <c r="AW88" s="71" t="s">
        <v>2460</v>
      </c>
      <c r="AX88" s="9">
        <v>111.34168739620002</v>
      </c>
      <c r="AY88" s="56" t="s">
        <v>87</v>
      </c>
      <c r="AZ88" s="9">
        <v>2.0243943162945457</v>
      </c>
      <c r="BA88" s="56" t="s">
        <v>41</v>
      </c>
      <c r="BB88" s="56" t="s">
        <v>87</v>
      </c>
      <c r="BC88" s="9">
        <v>9.5409727089067822</v>
      </c>
      <c r="BD88" s="56" t="s">
        <v>41</v>
      </c>
      <c r="BE88" s="56" t="s">
        <v>40</v>
      </c>
      <c r="BF88" s="9">
        <v>9.3536507811696854</v>
      </c>
      <c r="BG88" s="80" t="s">
        <v>80</v>
      </c>
      <c r="BH88" s="52" t="s">
        <v>87</v>
      </c>
      <c r="BI88" s="9">
        <v>9.3254376180150889</v>
      </c>
      <c r="BJ88" s="71" t="s">
        <v>80</v>
      </c>
      <c r="BK88" s="56" t="s">
        <v>40</v>
      </c>
      <c r="BL88" s="9">
        <v>9.1285185450830095</v>
      </c>
      <c r="BM88" s="52" t="s">
        <v>41</v>
      </c>
      <c r="BN88" s="80" t="s">
        <v>1490</v>
      </c>
      <c r="BO88" s="9">
        <v>8.1387590079798784</v>
      </c>
    </row>
    <row r="89" spans="1:67" x14ac:dyDescent="0.45">
      <c r="A89" s="10">
        <v>75</v>
      </c>
      <c r="B89" s="10" t="s">
        <v>1336</v>
      </c>
      <c r="C89" s="56" t="s">
        <v>2123</v>
      </c>
      <c r="D89" s="80" t="s">
        <v>1892</v>
      </c>
      <c r="E89" s="58" t="s">
        <v>2244</v>
      </c>
      <c r="F89" s="64" t="s">
        <v>2245</v>
      </c>
      <c r="G89" s="287" t="s">
        <v>1890</v>
      </c>
      <c r="H89" s="10"/>
      <c r="I89" s="62">
        <v>141.46370179000002</v>
      </c>
      <c r="J89" s="62">
        <v>141.46370179000002</v>
      </c>
      <c r="K89" s="62">
        <v>127.23830161000001</v>
      </c>
      <c r="L89" s="49">
        <v>1897.9136939309756</v>
      </c>
      <c r="M89" s="49">
        <v>1864.6840966338434</v>
      </c>
      <c r="N89" s="49">
        <v>1838.5198063141331</v>
      </c>
      <c r="O89" s="61">
        <v>15.768877386987274</v>
      </c>
      <c r="P89" s="60"/>
      <c r="Q89" s="51" t="s">
        <v>1484</v>
      </c>
      <c r="R89" s="9">
        <v>17.975644214800003</v>
      </c>
      <c r="S89" s="52" t="s">
        <v>41</v>
      </c>
      <c r="T89" s="9">
        <v>12.428207254311111</v>
      </c>
      <c r="U89" s="51" t="s">
        <v>1484</v>
      </c>
      <c r="V89" s="9">
        <v>10.87</v>
      </c>
      <c r="W89" s="56" t="s">
        <v>87</v>
      </c>
      <c r="X89" s="9">
        <v>85.87822107400001</v>
      </c>
      <c r="Y89" s="56" t="s">
        <v>87</v>
      </c>
      <c r="Z89" s="9">
        <v>37.338356988695658</v>
      </c>
      <c r="AA89" s="52" t="s">
        <v>41</v>
      </c>
      <c r="AB89" s="51" t="s">
        <v>182</v>
      </c>
      <c r="AC89" s="9">
        <v>16.665397831334403</v>
      </c>
      <c r="AD89" s="56" t="s">
        <v>41</v>
      </c>
      <c r="AE89" s="56" t="s">
        <v>87</v>
      </c>
      <c r="AF89" s="9">
        <v>16.054368291594937</v>
      </c>
      <c r="AG89" s="52" t="s">
        <v>41</v>
      </c>
      <c r="AH89" s="52" t="s">
        <v>286</v>
      </c>
      <c r="AI89" s="9">
        <v>15.143623968419091</v>
      </c>
      <c r="AJ89" s="51" t="s">
        <v>1484</v>
      </c>
      <c r="AK89" s="290" t="s">
        <v>182</v>
      </c>
      <c r="AL89" s="9">
        <v>14.76815004067606</v>
      </c>
      <c r="AM89" s="51" t="s">
        <v>1484</v>
      </c>
      <c r="AN89" s="52" t="s">
        <v>87</v>
      </c>
      <c r="AO89" s="9">
        <v>13.720069385495652</v>
      </c>
      <c r="AP89" s="60"/>
      <c r="AQ89" s="51" t="s">
        <v>1484</v>
      </c>
      <c r="AR89" s="9">
        <v>14.241002487544002</v>
      </c>
      <c r="AS89" s="52" t="s">
        <v>41</v>
      </c>
      <c r="AT89" s="9">
        <v>4.9136674958480002</v>
      </c>
      <c r="AU89" s="56" t="s">
        <v>41</v>
      </c>
      <c r="AV89" s="9">
        <v>2.5</v>
      </c>
      <c r="AW89" s="52" t="s">
        <v>87</v>
      </c>
      <c r="AX89" s="9">
        <v>111.34168739620002</v>
      </c>
      <c r="AY89" s="56" t="s">
        <v>87</v>
      </c>
      <c r="AZ89" s="9">
        <v>2.0243943162945457</v>
      </c>
      <c r="BA89" s="56" t="s">
        <v>41</v>
      </c>
      <c r="BB89" s="56" t="s">
        <v>87</v>
      </c>
      <c r="BC89" s="9">
        <v>9.5409727089067822</v>
      </c>
      <c r="BD89" s="56" t="s">
        <v>41</v>
      </c>
      <c r="BE89" s="290" t="s">
        <v>182</v>
      </c>
      <c r="BF89" s="9">
        <v>9.0612262419667839</v>
      </c>
      <c r="BG89" s="56" t="s">
        <v>41</v>
      </c>
      <c r="BH89" s="52" t="s">
        <v>286</v>
      </c>
      <c r="BI89" s="9">
        <v>7.9287955077451766</v>
      </c>
      <c r="BJ89" s="51" t="s">
        <v>1484</v>
      </c>
      <c r="BK89" s="56" t="s">
        <v>87</v>
      </c>
      <c r="BL89" s="9">
        <v>6.6549895114979662</v>
      </c>
      <c r="BM89" s="51" t="s">
        <v>1484</v>
      </c>
      <c r="BN89" s="290" t="s">
        <v>182</v>
      </c>
      <c r="BO89" s="9">
        <v>6.2678256960727019</v>
      </c>
    </row>
    <row r="90" spans="1:67" x14ac:dyDescent="0.45">
      <c r="A90" s="10">
        <v>76</v>
      </c>
      <c r="B90" s="10" t="s">
        <v>81</v>
      </c>
      <c r="C90" s="80" t="s">
        <v>2122</v>
      </c>
      <c r="D90" s="288" t="s">
        <v>2161</v>
      </c>
      <c r="E90" s="58" t="s">
        <v>2242</v>
      </c>
      <c r="F90" s="64" t="s">
        <v>2243</v>
      </c>
      <c r="G90" s="63" t="s">
        <v>2220</v>
      </c>
      <c r="H90" s="10"/>
      <c r="I90" s="62">
        <v>178.60780226</v>
      </c>
      <c r="J90" s="62">
        <v>168.33390213000001</v>
      </c>
      <c r="K90" s="62">
        <v>162.01150205000002</v>
      </c>
      <c r="L90" s="49">
        <v>2949.5729804505627</v>
      </c>
      <c r="M90" s="49">
        <v>2873.504692149646</v>
      </c>
      <c r="N90" s="49">
        <v>2814.0649835609352</v>
      </c>
      <c r="O90" s="61">
        <v>23.342666236338019</v>
      </c>
      <c r="P90" s="60"/>
      <c r="Q90" s="71" t="s">
        <v>80</v>
      </c>
      <c r="R90" s="9">
        <v>20.289642644080001</v>
      </c>
      <c r="S90" s="52" t="s">
        <v>41</v>
      </c>
      <c r="T90" s="9">
        <v>15.39973529191111</v>
      </c>
      <c r="U90" s="71" t="s">
        <v>144</v>
      </c>
      <c r="V90" s="9">
        <v>11.667</v>
      </c>
      <c r="W90" s="80" t="s">
        <v>79</v>
      </c>
      <c r="X90" s="9">
        <v>151.0305538984</v>
      </c>
      <c r="Y90" s="56" t="s">
        <v>87</v>
      </c>
      <c r="Z90" s="9">
        <v>47.028122328695659</v>
      </c>
      <c r="AA90" s="52" t="s">
        <v>41</v>
      </c>
      <c r="AB90" s="71" t="s">
        <v>79</v>
      </c>
      <c r="AC90" s="9">
        <v>20.989881891181284</v>
      </c>
      <c r="AD90" s="80" t="s">
        <v>80</v>
      </c>
      <c r="AE90" s="80" t="s">
        <v>79</v>
      </c>
      <c r="AF90" s="9">
        <v>20.594897388587654</v>
      </c>
      <c r="AG90" s="52" t="s">
        <v>41</v>
      </c>
      <c r="AH90" s="52" t="s">
        <v>87</v>
      </c>
      <c r="AI90" s="9">
        <v>20.003867582075948</v>
      </c>
      <c r="AJ90" s="71" t="s">
        <v>144</v>
      </c>
      <c r="AK90" s="80" t="s">
        <v>79</v>
      </c>
      <c r="AL90" s="9">
        <v>19.555878167888888</v>
      </c>
      <c r="AM90" s="71" t="s">
        <v>80</v>
      </c>
      <c r="AN90" s="52" t="s">
        <v>87</v>
      </c>
      <c r="AO90" s="9">
        <v>19.514863433068459</v>
      </c>
      <c r="AP90" s="60"/>
      <c r="AQ90" s="71" t="s">
        <v>80</v>
      </c>
      <c r="AR90" s="9">
        <v>16.324549433908</v>
      </c>
      <c r="AS90" s="52" t="s">
        <v>41</v>
      </c>
      <c r="AT90" s="9">
        <v>6.072563430512</v>
      </c>
      <c r="AU90" s="80" t="s">
        <v>144</v>
      </c>
      <c r="AV90" s="9">
        <v>4.5</v>
      </c>
      <c r="AW90" s="71" t="s">
        <v>79</v>
      </c>
      <c r="AX90" s="9">
        <v>168.17690291536002</v>
      </c>
      <c r="AY90" s="80" t="s">
        <v>79</v>
      </c>
      <c r="AZ90" s="9">
        <v>2.5873369679286156</v>
      </c>
      <c r="BA90" s="80" t="s">
        <v>144</v>
      </c>
      <c r="BB90" s="80" t="s">
        <v>79</v>
      </c>
      <c r="BC90" s="9">
        <v>13.311184125724461</v>
      </c>
      <c r="BD90" s="80" t="s">
        <v>144</v>
      </c>
      <c r="BE90" s="56" t="s">
        <v>87</v>
      </c>
      <c r="BF90" s="9">
        <v>13.005840448519498</v>
      </c>
      <c r="BG90" s="56" t="s">
        <v>41</v>
      </c>
      <c r="BH90" s="71" t="s">
        <v>79</v>
      </c>
      <c r="BI90" s="9">
        <v>12.076427855876741</v>
      </c>
      <c r="BJ90" s="52" t="s">
        <v>41</v>
      </c>
      <c r="BK90" s="56" t="s">
        <v>87</v>
      </c>
      <c r="BL90" s="9">
        <v>11.909151358002783</v>
      </c>
      <c r="BM90" s="71" t="s">
        <v>80</v>
      </c>
      <c r="BN90" s="80" t="s">
        <v>79</v>
      </c>
      <c r="BO90" s="9">
        <v>11.854733677472414</v>
      </c>
    </row>
    <row r="91" spans="1:67" x14ac:dyDescent="0.45">
      <c r="A91" s="10">
        <v>76</v>
      </c>
      <c r="B91" s="10" t="s">
        <v>221</v>
      </c>
      <c r="C91" s="56" t="s">
        <v>2123</v>
      </c>
      <c r="D91" s="80" t="s">
        <v>1892</v>
      </c>
      <c r="E91" s="58" t="s">
        <v>2244</v>
      </c>
      <c r="F91" s="64" t="s">
        <v>2245</v>
      </c>
      <c r="G91" s="287" t="s">
        <v>1890</v>
      </c>
      <c r="H91" s="10"/>
      <c r="I91" s="62">
        <v>178.60780226</v>
      </c>
      <c r="J91" s="62">
        <v>168.33390213000001</v>
      </c>
      <c r="K91" s="62">
        <v>162.01150205000002</v>
      </c>
      <c r="L91" s="49">
        <v>2949.5729804505627</v>
      </c>
      <c r="M91" s="49">
        <v>2873.504692149646</v>
      </c>
      <c r="N91" s="49">
        <v>2814.0649835609352</v>
      </c>
      <c r="O91" s="61">
        <v>23.342666236338019</v>
      </c>
      <c r="P91" s="60"/>
      <c r="Q91" s="51" t="s">
        <v>1484</v>
      </c>
      <c r="R91" s="9">
        <v>22.432936271199999</v>
      </c>
      <c r="S91" s="52" t="s">
        <v>41</v>
      </c>
      <c r="T91" s="9">
        <v>15.39973529191111</v>
      </c>
      <c r="U91" s="51" t="s">
        <v>1484</v>
      </c>
      <c r="V91" s="9">
        <v>10.87</v>
      </c>
      <c r="W91" s="56" t="s">
        <v>87</v>
      </c>
      <c r="X91" s="9">
        <v>108.164681356</v>
      </c>
      <c r="Y91" s="56" t="s">
        <v>87</v>
      </c>
      <c r="Z91" s="9">
        <v>47.028122328695659</v>
      </c>
      <c r="AA91" s="52" t="s">
        <v>41</v>
      </c>
      <c r="AB91" s="51" t="s">
        <v>94</v>
      </c>
      <c r="AC91" s="9">
        <v>21.758316149981013</v>
      </c>
      <c r="AD91" s="56" t="s">
        <v>41</v>
      </c>
      <c r="AE91" s="56" t="s">
        <v>87</v>
      </c>
      <c r="AF91" s="9">
        <v>20.003867582075948</v>
      </c>
      <c r="AG91" s="51" t="s">
        <v>1484</v>
      </c>
      <c r="AH91" s="51" t="s">
        <v>94</v>
      </c>
      <c r="AI91" s="9">
        <v>19.765845244833336</v>
      </c>
      <c r="AJ91" s="52" t="s">
        <v>41</v>
      </c>
      <c r="AK91" s="56" t="s">
        <v>286</v>
      </c>
      <c r="AL91" s="9">
        <v>18.882962941909021</v>
      </c>
      <c r="AM91" s="51" t="s">
        <v>1484</v>
      </c>
      <c r="AN91" s="52" t="s">
        <v>87</v>
      </c>
      <c r="AO91" s="9">
        <v>17.208384907895653</v>
      </c>
      <c r="AP91" s="60"/>
      <c r="AQ91" s="51" t="s">
        <v>1484</v>
      </c>
      <c r="AR91" s="9">
        <v>17.717690291536002</v>
      </c>
      <c r="AS91" s="52" t="s">
        <v>41</v>
      </c>
      <c r="AT91" s="9">
        <v>6.072563430512</v>
      </c>
      <c r="AU91" s="56" t="s">
        <v>41</v>
      </c>
      <c r="AV91" s="9">
        <v>2.5</v>
      </c>
      <c r="AW91" s="52" t="s">
        <v>87</v>
      </c>
      <c r="AX91" s="9">
        <v>140.3140857628</v>
      </c>
      <c r="AY91" s="56" t="s">
        <v>87</v>
      </c>
      <c r="AZ91" s="9">
        <v>2.5511651956872727</v>
      </c>
      <c r="BA91" s="56" t="s">
        <v>41</v>
      </c>
      <c r="BB91" s="56" t="s">
        <v>87</v>
      </c>
      <c r="BC91" s="9">
        <v>11.909151358002783</v>
      </c>
      <c r="BD91" s="56" t="s">
        <v>41</v>
      </c>
      <c r="BE91" s="290" t="s">
        <v>94</v>
      </c>
      <c r="BF91" s="9">
        <v>11.80161646651238</v>
      </c>
      <c r="BG91" s="56" t="s">
        <v>41</v>
      </c>
      <c r="BH91" s="52" t="s">
        <v>286</v>
      </c>
      <c r="BI91" s="9">
        <v>9.8716504570348231</v>
      </c>
      <c r="BJ91" s="51" t="s">
        <v>1484</v>
      </c>
      <c r="BK91" s="56" t="s">
        <v>87</v>
      </c>
      <c r="BL91" s="9">
        <v>8.3425046444297557</v>
      </c>
      <c r="BM91" s="51" t="s">
        <v>1484</v>
      </c>
      <c r="BN91" s="290" t="s">
        <v>94</v>
      </c>
      <c r="BO91" s="9">
        <v>8.2681203324692305</v>
      </c>
    </row>
    <row r="92" spans="1:67" x14ac:dyDescent="0.45">
      <c r="A92" s="10">
        <v>77</v>
      </c>
      <c r="B92" s="10" t="s">
        <v>1329</v>
      </c>
      <c r="C92" s="75" t="s">
        <v>1976</v>
      </c>
      <c r="D92" s="65"/>
      <c r="E92" s="80" t="s">
        <v>2198</v>
      </c>
      <c r="F92" s="289" t="s">
        <v>2199</v>
      </c>
      <c r="G92" s="242"/>
      <c r="H92" s="10"/>
      <c r="I92" s="62">
        <v>146.20550185000002</v>
      </c>
      <c r="J92" s="62">
        <v>112.22260142</v>
      </c>
      <c r="K92" s="62">
        <v>120.12560152</v>
      </c>
      <c r="L92" s="49">
        <v>1697.5464605990696</v>
      </c>
      <c r="M92" s="49">
        <v>1572.0019557764176</v>
      </c>
      <c r="N92" s="49">
        <v>1478.2851426462487</v>
      </c>
      <c r="O92" s="61">
        <v>12.120602011238985</v>
      </c>
      <c r="P92" s="60"/>
      <c r="Q92" s="70" t="s">
        <v>138</v>
      </c>
      <c r="R92" s="9">
        <v>9.7723301110000005</v>
      </c>
      <c r="S92" s="70" t="s">
        <v>138</v>
      </c>
      <c r="T92" s="9">
        <v>9.7723301110000005</v>
      </c>
      <c r="U92" s="15" t="s">
        <v>2387</v>
      </c>
      <c r="V92" s="9">
        <v>10</v>
      </c>
      <c r="W92" s="75" t="s">
        <v>1482</v>
      </c>
      <c r="X92" s="9">
        <v>62.406310777000009</v>
      </c>
      <c r="Y92" s="64" t="s">
        <v>1508</v>
      </c>
      <c r="Z92" s="9">
        <v>24.23912529926471</v>
      </c>
      <c r="AA92" s="70" t="s">
        <v>138</v>
      </c>
      <c r="AB92" s="15" t="s">
        <v>1508</v>
      </c>
      <c r="AC92" s="9">
        <v>13.443009487126867</v>
      </c>
      <c r="AD92" s="75" t="s">
        <v>138</v>
      </c>
      <c r="AE92" s="75" t="s">
        <v>1482</v>
      </c>
      <c r="AF92" s="9">
        <v>13.315057637429909</v>
      </c>
      <c r="AG92" s="70" t="s">
        <v>138</v>
      </c>
      <c r="AH92" s="70" t="s">
        <v>1525</v>
      </c>
      <c r="AI92" s="9">
        <v>13.311120937792209</v>
      </c>
      <c r="AJ92" s="15" t="s">
        <v>127</v>
      </c>
      <c r="AK92" s="75" t="s">
        <v>1482</v>
      </c>
      <c r="AL92" s="9">
        <v>13.09914407738318</v>
      </c>
      <c r="AM92" s="15" t="s">
        <v>127</v>
      </c>
      <c r="AN92" s="15" t="s">
        <v>1508</v>
      </c>
      <c r="AO92" s="9">
        <v>13.098192309141792</v>
      </c>
      <c r="AP92" s="60"/>
      <c r="AQ92" s="70" t="s">
        <v>138</v>
      </c>
      <c r="AR92" s="9">
        <v>7.8424174865800014</v>
      </c>
      <c r="AS92" s="70" t="s">
        <v>138</v>
      </c>
      <c r="AT92" s="9">
        <v>3.9212087432900007</v>
      </c>
      <c r="AU92" s="75" t="s">
        <v>138</v>
      </c>
      <c r="AV92" s="9">
        <v>3</v>
      </c>
      <c r="AW92" s="70" t="s">
        <v>1482</v>
      </c>
      <c r="AX92" s="9">
        <v>80.828204010100009</v>
      </c>
      <c r="AY92" s="75" t="s">
        <v>1482</v>
      </c>
      <c r="AZ92" s="9">
        <v>1.6165640802020003</v>
      </c>
      <c r="BA92" s="75" t="s">
        <v>138</v>
      </c>
      <c r="BB92" s="75" t="s">
        <v>1482</v>
      </c>
      <c r="BC92" s="9">
        <v>8.2744348904679264</v>
      </c>
      <c r="BD92" s="75" t="s">
        <v>138</v>
      </c>
      <c r="BE92" s="64" t="s">
        <v>1508</v>
      </c>
      <c r="BF92" s="9">
        <v>7.3640407085052342</v>
      </c>
      <c r="BG92" s="75" t="s">
        <v>138</v>
      </c>
      <c r="BH92" s="70" t="s">
        <v>1525</v>
      </c>
      <c r="BI92" s="9">
        <v>7.309293197902587</v>
      </c>
      <c r="BJ92" s="15" t="s">
        <v>127</v>
      </c>
      <c r="BK92" s="75" t="s">
        <v>1482</v>
      </c>
      <c r="BL92" s="9">
        <v>6.8116686985375017</v>
      </c>
      <c r="BM92" s="15" t="s">
        <v>127</v>
      </c>
      <c r="BN92" s="64" t="s">
        <v>1508</v>
      </c>
      <c r="BO92" s="9">
        <v>6.204219649184525</v>
      </c>
    </row>
    <row r="93" spans="1:67" x14ac:dyDescent="0.45">
      <c r="A93" s="10">
        <v>78</v>
      </c>
      <c r="B93" s="10" t="s">
        <v>271</v>
      </c>
      <c r="C93" s="75" t="s">
        <v>1976</v>
      </c>
      <c r="D93" s="65"/>
      <c r="E93" s="80" t="s">
        <v>2198</v>
      </c>
      <c r="F93" s="289" t="s">
        <v>2199</v>
      </c>
      <c r="G93" s="242"/>
      <c r="H93" s="10"/>
      <c r="I93" s="62">
        <v>175.44660222000002</v>
      </c>
      <c r="J93" s="62">
        <v>139.88310177</v>
      </c>
      <c r="K93" s="62">
        <v>140.67340178000001</v>
      </c>
      <c r="L93" s="49">
        <v>2461.1244994407589</v>
      </c>
      <c r="M93" s="49">
        <v>2284.273686387714</v>
      </c>
      <c r="N93" s="49">
        <v>2151.9876745206179</v>
      </c>
      <c r="O93" s="61">
        <v>17.263026135722413</v>
      </c>
      <c r="P93" s="60"/>
      <c r="Q93" s="70" t="s">
        <v>36</v>
      </c>
      <c r="R93" s="9">
        <v>15.737514586480001</v>
      </c>
      <c r="S93" s="70" t="s">
        <v>36</v>
      </c>
      <c r="T93" s="9">
        <v>14.306831442254545</v>
      </c>
      <c r="U93" s="55" t="s">
        <v>2446</v>
      </c>
      <c r="V93" s="9">
        <v>10</v>
      </c>
      <c r="W93" s="75" t="s">
        <v>19</v>
      </c>
      <c r="X93" s="9">
        <v>148.3751458648</v>
      </c>
      <c r="Y93" s="75" t="s">
        <v>19</v>
      </c>
      <c r="Z93" s="9">
        <v>35.327415682095236</v>
      </c>
      <c r="AA93" s="70" t="s">
        <v>36</v>
      </c>
      <c r="AB93" s="70" t="s">
        <v>19</v>
      </c>
      <c r="AC93" s="9">
        <v>20.11515077168421</v>
      </c>
      <c r="AD93" s="75" t="s">
        <v>138</v>
      </c>
      <c r="AE93" s="75" t="s">
        <v>19</v>
      </c>
      <c r="AF93" s="9">
        <v>18.566415999774652</v>
      </c>
      <c r="AG93" s="70" t="s">
        <v>36</v>
      </c>
      <c r="AH93" s="70" t="s">
        <v>270</v>
      </c>
      <c r="AI93" s="9">
        <v>18.455693509300001</v>
      </c>
      <c r="AJ93" s="70" t="s">
        <v>36</v>
      </c>
      <c r="AK93" s="80" t="s">
        <v>1487</v>
      </c>
      <c r="AL93" s="9">
        <v>18.056170339807231</v>
      </c>
      <c r="AM93" s="55" t="s">
        <v>140</v>
      </c>
      <c r="AN93" s="70" t="s">
        <v>19</v>
      </c>
      <c r="AO93" s="9">
        <v>17.698118958125001</v>
      </c>
      <c r="AP93" s="60"/>
      <c r="AQ93" s="70" t="s">
        <v>36</v>
      </c>
      <c r="AR93" s="9">
        <v>13.316351475844002</v>
      </c>
      <c r="AS93" s="70" t="s">
        <v>138</v>
      </c>
      <c r="AT93" s="9">
        <v>4.6054504919480008</v>
      </c>
      <c r="AU93" s="75" t="s">
        <v>36</v>
      </c>
      <c r="AV93" s="9">
        <v>3.3333333333333002</v>
      </c>
      <c r="AW93" s="70" t="s">
        <v>19</v>
      </c>
      <c r="AX93" s="9">
        <v>192.58768962424003</v>
      </c>
      <c r="AY93" s="75" t="s">
        <v>19</v>
      </c>
      <c r="AZ93" s="9">
        <v>2.4073461203030004</v>
      </c>
      <c r="BA93" s="75" t="s">
        <v>36</v>
      </c>
      <c r="BB93" s="75" t="s">
        <v>19</v>
      </c>
      <c r="BC93" s="9">
        <v>11.964740057239682</v>
      </c>
      <c r="BD93" s="75" t="s">
        <v>138</v>
      </c>
      <c r="BE93" s="75" t="s">
        <v>19</v>
      </c>
      <c r="BF93" s="9">
        <v>11.399989255765785</v>
      </c>
      <c r="BG93" s="75" t="s">
        <v>36</v>
      </c>
      <c r="BH93" s="70" t="s">
        <v>270</v>
      </c>
      <c r="BI93" s="9">
        <v>9.8246199282489375</v>
      </c>
      <c r="BJ93" s="70" t="s">
        <v>138</v>
      </c>
      <c r="BK93" s="75" t="s">
        <v>270</v>
      </c>
      <c r="BL93" s="9">
        <v>9.4670074824507697</v>
      </c>
      <c r="BM93" s="70" t="s">
        <v>36</v>
      </c>
      <c r="BN93" s="80" t="s">
        <v>1487</v>
      </c>
      <c r="BO93" s="9">
        <v>9.4555523583738292</v>
      </c>
    </row>
    <row r="94" spans="1:67" x14ac:dyDescent="0.45">
      <c r="A94" s="10">
        <v>79</v>
      </c>
      <c r="B94" s="10" t="s">
        <v>1325</v>
      </c>
      <c r="C94" s="288" t="s">
        <v>2124</v>
      </c>
      <c r="D94" s="65"/>
      <c r="E94" s="289" t="s">
        <v>2246</v>
      </c>
      <c r="F94" s="58" t="s">
        <v>2247</v>
      </c>
      <c r="G94" s="242"/>
      <c r="H94" s="10"/>
      <c r="I94" s="62">
        <v>97.99720124000001</v>
      </c>
      <c r="J94" s="62">
        <v>89.30390113</v>
      </c>
      <c r="K94" s="62">
        <v>175.44660222000002</v>
      </c>
      <c r="L94" s="49">
        <v>1226.6519935798065</v>
      </c>
      <c r="M94" s="49">
        <v>1330.9223257743133</v>
      </c>
      <c r="N94" s="49">
        <v>1420.6849614047483</v>
      </c>
      <c r="O94" s="61">
        <v>14.38355816223177</v>
      </c>
      <c r="P94" s="60"/>
      <c r="Q94" s="57" t="s">
        <v>101</v>
      </c>
      <c r="R94" s="9">
        <v>12.759664148800001</v>
      </c>
      <c r="S94" s="57" t="s">
        <v>101</v>
      </c>
      <c r="T94" s="9">
        <v>7.9747900930000002</v>
      </c>
      <c r="U94" s="73" t="s">
        <v>121</v>
      </c>
      <c r="V94" s="9">
        <v>10</v>
      </c>
      <c r="W94" s="242" t="s">
        <v>82</v>
      </c>
      <c r="X94" s="9">
        <v>53.918488669600002</v>
      </c>
      <c r="Y94" s="242" t="s">
        <v>82</v>
      </c>
      <c r="Z94" s="9">
        <v>19.256603096285716</v>
      </c>
      <c r="AA94" s="73" t="s">
        <v>121</v>
      </c>
      <c r="AB94" s="57" t="s">
        <v>82</v>
      </c>
      <c r="AC94" s="9">
        <v>11.963801159179487</v>
      </c>
      <c r="AD94" s="242" t="s">
        <v>101</v>
      </c>
      <c r="AE94" s="242" t="s">
        <v>82</v>
      </c>
      <c r="AF94" s="9">
        <v>11.858692930196723</v>
      </c>
      <c r="AG94" s="73" t="s">
        <v>121</v>
      </c>
      <c r="AH94" s="57" t="s">
        <v>58</v>
      </c>
      <c r="AI94" s="9">
        <v>10.853869955513813</v>
      </c>
      <c r="AJ94" s="57" t="s">
        <v>101</v>
      </c>
      <c r="AK94" s="242" t="s">
        <v>58</v>
      </c>
      <c r="AL94" s="9">
        <v>10.80219288327531</v>
      </c>
      <c r="AM94" s="73" t="s">
        <v>121</v>
      </c>
      <c r="AN94" s="73" t="s">
        <v>238</v>
      </c>
      <c r="AO94" s="9">
        <v>9.9460957186341474</v>
      </c>
      <c r="AP94" s="60"/>
      <c r="AQ94" s="57" t="s">
        <v>101</v>
      </c>
      <c r="AR94" s="9">
        <v>13.230050714752002</v>
      </c>
      <c r="AS94" s="57" t="s">
        <v>101</v>
      </c>
      <c r="AT94" s="9">
        <v>3.3075126786880005</v>
      </c>
      <c r="AU94" s="242" t="s">
        <v>2457</v>
      </c>
      <c r="AV94" s="9">
        <v>3</v>
      </c>
      <c r="AW94" s="57" t="s">
        <v>82</v>
      </c>
      <c r="AX94" s="9">
        <v>69.794035270480009</v>
      </c>
      <c r="AY94" s="242" t="s">
        <v>82</v>
      </c>
      <c r="AZ94" s="9">
        <v>1.2689824594632728</v>
      </c>
      <c r="BA94" s="242" t="s">
        <v>101</v>
      </c>
      <c r="BB94" s="242" t="s">
        <v>82</v>
      </c>
      <c r="BC94" s="9">
        <v>6.7464707437806899</v>
      </c>
      <c r="BD94" s="288" t="s">
        <v>121</v>
      </c>
      <c r="BE94" s="242" t="s">
        <v>82</v>
      </c>
      <c r="BF94" s="9">
        <v>6.7328362725400011</v>
      </c>
      <c r="BG94" s="242" t="s">
        <v>101</v>
      </c>
      <c r="BH94" s="57" t="s">
        <v>58</v>
      </c>
      <c r="BI94" s="9">
        <v>6.5074476285850009</v>
      </c>
      <c r="BJ94" s="73" t="s">
        <v>121</v>
      </c>
      <c r="BK94" s="242" t="s">
        <v>58</v>
      </c>
      <c r="BL94" s="9">
        <v>6.4939680945175002</v>
      </c>
      <c r="BM94" s="57" t="s">
        <v>101</v>
      </c>
      <c r="BN94" s="288" t="s">
        <v>238</v>
      </c>
      <c r="BO94" s="9">
        <v>5.7455583548000009</v>
      </c>
    </row>
    <row r="95" spans="1:67" x14ac:dyDescent="0.45">
      <c r="A95" s="10">
        <v>80</v>
      </c>
      <c r="B95" s="10" t="s">
        <v>190</v>
      </c>
      <c r="C95" s="288" t="s">
        <v>2124</v>
      </c>
      <c r="D95" s="65"/>
      <c r="E95" s="289" t="s">
        <v>2246</v>
      </c>
      <c r="F95" s="58" t="s">
        <v>2247</v>
      </c>
      <c r="G95" s="242"/>
      <c r="H95" s="10"/>
      <c r="I95" s="62">
        <v>151.73760192</v>
      </c>
      <c r="J95" s="62">
        <v>154.10850195</v>
      </c>
      <c r="K95" s="62">
        <v>182.55930231000002</v>
      </c>
      <c r="L95" s="49">
        <v>2545.1213799412426</v>
      </c>
      <c r="M95" s="49">
        <v>2631.5756235163703</v>
      </c>
      <c r="N95" s="49">
        <v>2702.8487242794199</v>
      </c>
      <c r="O95" s="61">
        <v>24.377205911312263</v>
      </c>
      <c r="P95" s="60"/>
      <c r="Q95" s="57" t="s">
        <v>101</v>
      </c>
      <c r="R95" s="9">
        <v>19.2085122304</v>
      </c>
      <c r="S95" s="57" t="s">
        <v>101</v>
      </c>
      <c r="T95" s="9">
        <v>12.005320143999999</v>
      </c>
      <c r="U95" s="73" t="s">
        <v>121</v>
      </c>
      <c r="V95" s="9">
        <v>10</v>
      </c>
      <c r="W95" s="242" t="s">
        <v>82</v>
      </c>
      <c r="X95" s="9">
        <v>82.938305036800003</v>
      </c>
      <c r="Y95" s="242" t="s">
        <v>82</v>
      </c>
      <c r="Z95" s="9">
        <v>29.620823227428573</v>
      </c>
      <c r="AA95" s="57" t="s">
        <v>101</v>
      </c>
      <c r="AB95" s="57" t="s">
        <v>82</v>
      </c>
      <c r="AC95" s="9">
        <v>18.069673664524593</v>
      </c>
      <c r="AD95" s="288" t="s">
        <v>121</v>
      </c>
      <c r="AE95" s="242" t="s">
        <v>82</v>
      </c>
      <c r="AF95" s="9">
        <v>17.75122892471795</v>
      </c>
      <c r="AG95" s="57" t="s">
        <v>101</v>
      </c>
      <c r="AH95" s="74" t="s">
        <v>189</v>
      </c>
      <c r="AI95" s="9">
        <v>15.441346907181467</v>
      </c>
      <c r="AJ95" s="57" t="s">
        <v>101</v>
      </c>
      <c r="AK95" s="288" t="s">
        <v>238</v>
      </c>
      <c r="AL95" s="9">
        <v>15.088847684500001</v>
      </c>
      <c r="AM95" s="73" t="s">
        <v>121</v>
      </c>
      <c r="AN95" s="74" t="s">
        <v>189</v>
      </c>
      <c r="AO95" s="9">
        <v>15.036530293975902</v>
      </c>
      <c r="AP95" s="60"/>
      <c r="AQ95" s="57" t="s">
        <v>101</v>
      </c>
      <c r="AR95" s="9">
        <v>19.936852719616002</v>
      </c>
      <c r="AS95" s="57" t="s">
        <v>101</v>
      </c>
      <c r="AT95" s="9">
        <v>4.9842131799040006</v>
      </c>
      <c r="AU95" s="242" t="s">
        <v>2457</v>
      </c>
      <c r="AV95" s="9">
        <v>3</v>
      </c>
      <c r="AW95" s="57" t="s">
        <v>82</v>
      </c>
      <c r="AX95" s="9">
        <v>107.51979654784</v>
      </c>
      <c r="AY95" s="242" t="s">
        <v>82</v>
      </c>
      <c r="AZ95" s="9">
        <v>1.9549053917789092</v>
      </c>
      <c r="BA95" s="242" t="s">
        <v>101</v>
      </c>
      <c r="BB95" s="242" t="s">
        <v>82</v>
      </c>
      <c r="BC95" s="9">
        <v>10.287777836866207</v>
      </c>
      <c r="BD95" s="288" t="s">
        <v>121</v>
      </c>
      <c r="BE95" s="242" t="s">
        <v>82</v>
      </c>
      <c r="BF95" s="9">
        <v>9.8766497123200008</v>
      </c>
      <c r="BG95" s="242" t="s">
        <v>101</v>
      </c>
      <c r="BH95" s="74" t="s">
        <v>189</v>
      </c>
      <c r="BI95" s="9">
        <v>9.3695037286951735</v>
      </c>
      <c r="BJ95" s="73" t="s">
        <v>121</v>
      </c>
      <c r="BK95" s="291" t="s">
        <v>189</v>
      </c>
      <c r="BL95" s="9">
        <v>8.9583756041489675</v>
      </c>
      <c r="BM95" s="57" t="s">
        <v>101</v>
      </c>
      <c r="BN95" s="288" t="s">
        <v>238</v>
      </c>
      <c r="BO95" s="9">
        <v>8.7396663926857148</v>
      </c>
    </row>
    <row r="96" spans="1:67" x14ac:dyDescent="0.45">
      <c r="A96" s="10">
        <v>81</v>
      </c>
      <c r="B96" s="10" t="s">
        <v>1322</v>
      </c>
      <c r="C96" s="59" t="s">
        <v>2125</v>
      </c>
      <c r="D96" s="80" t="s">
        <v>1892</v>
      </c>
      <c r="E96" s="58" t="s">
        <v>2160</v>
      </c>
      <c r="F96" s="64" t="s">
        <v>2248</v>
      </c>
      <c r="G96" s="63" t="s">
        <v>2249</v>
      </c>
      <c r="H96" s="10"/>
      <c r="I96" s="62">
        <v>142.2540018</v>
      </c>
      <c r="J96" s="62">
        <v>107.48080136</v>
      </c>
      <c r="K96" s="62">
        <v>85.352401080000007</v>
      </c>
      <c r="L96" s="49">
        <v>1362.5040814475278</v>
      </c>
      <c r="M96" s="49">
        <v>1194.1918076064953</v>
      </c>
      <c r="N96" s="49">
        <v>1074.6402629213785</v>
      </c>
      <c r="O96" s="61">
        <v>8.2834343085794906</v>
      </c>
      <c r="P96" s="60"/>
      <c r="Q96" s="51" t="s">
        <v>6</v>
      </c>
      <c r="R96" s="9">
        <v>6.1211440647999993</v>
      </c>
      <c r="S96" s="51" t="s">
        <v>115</v>
      </c>
      <c r="T96" s="9">
        <v>8.7793667566666667</v>
      </c>
      <c r="U96" s="51" t="s">
        <v>115</v>
      </c>
      <c r="V96" s="9">
        <v>13.333</v>
      </c>
      <c r="W96" s="290" t="s">
        <v>182</v>
      </c>
      <c r="X96" s="9">
        <v>69.281920864</v>
      </c>
      <c r="Y96" s="64" t="s">
        <v>52</v>
      </c>
      <c r="Z96" s="9">
        <v>36.99207187857143</v>
      </c>
      <c r="AA96" s="51" t="s">
        <v>115</v>
      </c>
      <c r="AB96" s="51" t="s">
        <v>182</v>
      </c>
      <c r="AC96" s="9">
        <v>16.352727392239998</v>
      </c>
      <c r="AD96" s="290" t="s">
        <v>6</v>
      </c>
      <c r="AE96" s="290" t="s">
        <v>182</v>
      </c>
      <c r="AF96" s="9">
        <v>16.166860713321739</v>
      </c>
      <c r="AG96" s="51" t="s">
        <v>115</v>
      </c>
      <c r="AH96" s="51" t="s">
        <v>302</v>
      </c>
      <c r="AI96" s="9">
        <v>15.685495518733333</v>
      </c>
      <c r="AJ96" s="51" t="s">
        <v>115</v>
      </c>
      <c r="AK96" s="59" t="s">
        <v>208</v>
      </c>
      <c r="AL96" s="9">
        <v>15.602848612767296</v>
      </c>
      <c r="AM96" s="51" t="s">
        <v>6</v>
      </c>
      <c r="AN96" s="51" t="s">
        <v>302</v>
      </c>
      <c r="AO96" s="9">
        <v>15.542174875883637</v>
      </c>
      <c r="AP96" s="60"/>
      <c r="AQ96" s="51" t="s">
        <v>6</v>
      </c>
      <c r="AR96" s="9">
        <v>5.4383248561600004</v>
      </c>
      <c r="AS96" s="51" t="s">
        <v>6</v>
      </c>
      <c r="AT96" s="9">
        <v>2.7191624280800002</v>
      </c>
      <c r="AU96" s="290" t="s">
        <v>115</v>
      </c>
      <c r="AV96" s="9">
        <v>4.5</v>
      </c>
      <c r="AW96" s="15" t="s">
        <v>52</v>
      </c>
      <c r="AX96" s="9">
        <v>121.204631521</v>
      </c>
      <c r="AY96" s="290" t="s">
        <v>182</v>
      </c>
      <c r="AZ96" s="9">
        <v>1.8338601684290909</v>
      </c>
      <c r="BA96" s="290" t="s">
        <v>115</v>
      </c>
      <c r="BB96" s="290" t="s">
        <v>182</v>
      </c>
      <c r="BC96" s="9">
        <v>9.6289217116722696</v>
      </c>
      <c r="BD96" s="290" t="s">
        <v>6</v>
      </c>
      <c r="BE96" s="290" t="s">
        <v>182</v>
      </c>
      <c r="BF96" s="9">
        <v>9.3729350948949151</v>
      </c>
      <c r="BG96" s="290" t="s">
        <v>115</v>
      </c>
      <c r="BH96" s="15" t="s">
        <v>52</v>
      </c>
      <c r="BI96" s="9">
        <v>9.3547230781033548</v>
      </c>
      <c r="BJ96" s="51" t="s">
        <v>6</v>
      </c>
      <c r="BK96" s="64" t="s">
        <v>52</v>
      </c>
      <c r="BL96" s="9">
        <v>9.1237823790486487</v>
      </c>
      <c r="BM96" s="51" t="s">
        <v>115</v>
      </c>
      <c r="BN96" s="59" t="s">
        <v>208</v>
      </c>
      <c r="BO96" s="9">
        <v>9.1194911994000005</v>
      </c>
    </row>
    <row r="97" spans="1:67" x14ac:dyDescent="0.45">
      <c r="A97" s="10">
        <v>82</v>
      </c>
      <c r="B97" s="10" t="s">
        <v>181</v>
      </c>
      <c r="C97" s="59" t="s">
        <v>2125</v>
      </c>
      <c r="D97" s="80" t="s">
        <v>1892</v>
      </c>
      <c r="E97" s="58" t="s">
        <v>2160</v>
      </c>
      <c r="F97" s="64" t="s">
        <v>2248</v>
      </c>
      <c r="G97" s="63" t="s">
        <v>2249</v>
      </c>
      <c r="H97" s="10"/>
      <c r="I97" s="62">
        <v>188.09140238000001</v>
      </c>
      <c r="J97" s="62">
        <v>145.41520184000001</v>
      </c>
      <c r="K97" s="62">
        <v>120.12560152</v>
      </c>
      <c r="L97" s="49">
        <v>2485.9456954118295</v>
      </c>
      <c r="M97" s="49">
        <v>2210.0879339875623</v>
      </c>
      <c r="N97" s="49">
        <v>2011.6104657893582</v>
      </c>
      <c r="O97" s="61">
        <v>15.25044242744587</v>
      </c>
      <c r="P97" s="60"/>
      <c r="Q97" s="51" t="s">
        <v>74</v>
      </c>
      <c r="R97" s="9">
        <v>10.02838731424</v>
      </c>
      <c r="S97" s="51" t="s">
        <v>6</v>
      </c>
      <c r="T97" s="9">
        <v>11.101843550971429</v>
      </c>
      <c r="U97" s="51" t="s">
        <v>74</v>
      </c>
      <c r="V97" s="9">
        <v>13.635999999999999</v>
      </c>
      <c r="W97" s="290" t="s">
        <v>1483</v>
      </c>
      <c r="X97" s="9">
        <v>158.99677799919999</v>
      </c>
      <c r="Y97" s="64" t="s">
        <v>52</v>
      </c>
      <c r="Z97" s="9">
        <v>48.451422023571439</v>
      </c>
      <c r="AA97" s="51" t="s">
        <v>115</v>
      </c>
      <c r="AB97" s="51" t="s">
        <v>1483</v>
      </c>
      <c r="AC97" s="9">
        <v>21.334993471947826</v>
      </c>
      <c r="AD97" s="290" t="s">
        <v>6</v>
      </c>
      <c r="AE97" s="290" t="s">
        <v>1483</v>
      </c>
      <c r="AF97" s="9">
        <v>20.847294531186776</v>
      </c>
      <c r="AG97" s="51" t="s">
        <v>115</v>
      </c>
      <c r="AH97" s="51" t="s">
        <v>302</v>
      </c>
      <c r="AI97" s="9">
        <v>20.406747778473335</v>
      </c>
      <c r="AJ97" s="51" t="s">
        <v>115</v>
      </c>
      <c r="AK97" s="59" t="s">
        <v>208</v>
      </c>
      <c r="AL97" s="9">
        <v>20.316317162974844</v>
      </c>
      <c r="AM97" s="51" t="s">
        <v>6</v>
      </c>
      <c r="AN97" s="51" t="s">
        <v>302</v>
      </c>
      <c r="AO97" s="9">
        <v>20.252592840941091</v>
      </c>
      <c r="AP97" s="60"/>
      <c r="AQ97" s="51" t="s">
        <v>74</v>
      </c>
      <c r="AR97" s="9">
        <v>8.3355646928200002</v>
      </c>
      <c r="AS97" s="51" t="s">
        <v>6</v>
      </c>
      <c r="AT97" s="9">
        <v>3.4342258771280001</v>
      </c>
      <c r="AU97" s="290" t="s">
        <v>115</v>
      </c>
      <c r="AV97" s="9">
        <v>4.5</v>
      </c>
      <c r="AW97" s="51" t="s">
        <v>1483</v>
      </c>
      <c r="AX97" s="9">
        <v>221.06694078460001</v>
      </c>
      <c r="AY97" s="290" t="s">
        <v>1483</v>
      </c>
      <c r="AZ97" s="9">
        <v>2.7633367598075003</v>
      </c>
      <c r="BA97" s="290" t="s">
        <v>115</v>
      </c>
      <c r="BB97" s="290" t="s">
        <v>1483</v>
      </c>
      <c r="BC97" s="9">
        <v>14.329642439744143</v>
      </c>
      <c r="BD97" s="290" t="s">
        <v>6</v>
      </c>
      <c r="BE97" s="290" t="s">
        <v>1483</v>
      </c>
      <c r="BF97" s="9">
        <v>13.797688491769524</v>
      </c>
      <c r="BG97" s="290" t="s">
        <v>115</v>
      </c>
      <c r="BH97" s="53" t="s">
        <v>180</v>
      </c>
      <c r="BI97" s="9">
        <v>13.03977577121108</v>
      </c>
      <c r="BJ97" s="51" t="s">
        <v>6</v>
      </c>
      <c r="BK97" s="59" t="s">
        <v>180</v>
      </c>
      <c r="BL97" s="9">
        <v>12.648614130166377</v>
      </c>
      <c r="BM97" s="51" t="s">
        <v>74</v>
      </c>
      <c r="BN97" s="290" t="s">
        <v>1483</v>
      </c>
      <c r="BO97" s="9">
        <v>12.344946310980877</v>
      </c>
    </row>
    <row r="98" spans="1:67" x14ac:dyDescent="0.45">
      <c r="A98" s="10">
        <v>83</v>
      </c>
      <c r="B98" s="10" t="s">
        <v>1320</v>
      </c>
      <c r="C98" s="64" t="s">
        <v>2110</v>
      </c>
      <c r="D98" s="65"/>
      <c r="E98" s="56" t="s">
        <v>2208</v>
      </c>
      <c r="F98" s="289" t="s">
        <v>2118</v>
      </c>
      <c r="G98" s="80" t="s">
        <v>2191</v>
      </c>
      <c r="H98" s="10"/>
      <c r="I98" s="62">
        <v>109.85170139</v>
      </c>
      <c r="J98" s="62">
        <v>102.73900130000001</v>
      </c>
      <c r="K98" s="62">
        <v>123.28680156000001</v>
      </c>
      <c r="L98" s="49">
        <v>1236.3252822730024</v>
      </c>
      <c r="M98" s="49">
        <v>1246.3474863827478</v>
      </c>
      <c r="N98" s="49">
        <v>1254.423714142619</v>
      </c>
      <c r="O98" s="61">
        <v>11.486274495427773</v>
      </c>
      <c r="P98" s="60"/>
      <c r="Q98" s="16" t="s">
        <v>158</v>
      </c>
      <c r="R98" s="9">
        <v>10.227542916759999</v>
      </c>
      <c r="S98" s="15" t="s">
        <v>133</v>
      </c>
      <c r="T98" s="9">
        <v>8.5911020833999991</v>
      </c>
      <c r="U98" s="69" t="s">
        <v>27</v>
      </c>
      <c r="V98" s="9">
        <v>15</v>
      </c>
      <c r="W98" s="287" t="s">
        <v>210</v>
      </c>
      <c r="X98" s="9">
        <v>40.546612500400002</v>
      </c>
      <c r="Y98" s="79" t="s">
        <v>169</v>
      </c>
      <c r="Z98" s="9">
        <v>16.436706452708336</v>
      </c>
      <c r="AA98" s="15" t="s">
        <v>133</v>
      </c>
      <c r="AB98" s="72" t="s">
        <v>169</v>
      </c>
      <c r="AC98" s="9">
        <v>11.87530856357558</v>
      </c>
      <c r="AD98" s="289" t="s">
        <v>27</v>
      </c>
      <c r="AE98" s="79" t="s">
        <v>169</v>
      </c>
      <c r="AF98" s="9">
        <v>11.716866236081732</v>
      </c>
      <c r="AG98" s="15" t="s">
        <v>133</v>
      </c>
      <c r="AH98" s="16" t="s">
        <v>203</v>
      </c>
      <c r="AI98" s="9">
        <v>11.492104954075581</v>
      </c>
      <c r="AJ98" s="16" t="s">
        <v>158</v>
      </c>
      <c r="AK98" s="79" t="s">
        <v>169</v>
      </c>
      <c r="AL98" s="9">
        <v>11.490610188911457</v>
      </c>
      <c r="AM98" s="69" t="s">
        <v>27</v>
      </c>
      <c r="AN98" s="16" t="s">
        <v>203</v>
      </c>
      <c r="AO98" s="9">
        <v>11.241546374298077</v>
      </c>
      <c r="AP98" s="60"/>
      <c r="AQ98" s="16" t="s">
        <v>158</v>
      </c>
      <c r="AR98" s="9">
        <v>8.7115894375780005</v>
      </c>
      <c r="AS98" s="15" t="s">
        <v>133</v>
      </c>
      <c r="AT98" s="9">
        <v>3.5705298125260003</v>
      </c>
      <c r="AU98" s="289" t="s">
        <v>27</v>
      </c>
      <c r="AV98" s="9">
        <v>4</v>
      </c>
      <c r="AW98" s="16" t="s">
        <v>210</v>
      </c>
      <c r="AX98" s="9">
        <v>52.410596250520001</v>
      </c>
      <c r="AY98" s="79" t="s">
        <v>169</v>
      </c>
      <c r="AZ98" s="9">
        <v>1.4566435466414287</v>
      </c>
      <c r="BA98" s="289" t="s">
        <v>27</v>
      </c>
      <c r="BB98" s="79" t="s">
        <v>169</v>
      </c>
      <c r="BC98" s="9">
        <v>7.4080159144166666</v>
      </c>
      <c r="BD98" s="287" t="s">
        <v>158</v>
      </c>
      <c r="BE98" s="79" t="s">
        <v>169</v>
      </c>
      <c r="BF98" s="9">
        <v>6.6995469079585979</v>
      </c>
      <c r="BG98" s="289" t="s">
        <v>27</v>
      </c>
      <c r="BH98" s="16" t="s">
        <v>203</v>
      </c>
      <c r="BI98" s="9">
        <v>6.1585462224161232</v>
      </c>
      <c r="BJ98" s="15" t="s">
        <v>133</v>
      </c>
      <c r="BK98" s="79" t="s">
        <v>169</v>
      </c>
      <c r="BL98" s="9">
        <v>6.1333403163056763</v>
      </c>
      <c r="BM98" s="69" t="s">
        <v>27</v>
      </c>
      <c r="BN98" s="287" t="s">
        <v>210</v>
      </c>
      <c r="BO98" s="9">
        <v>5.8167178219649154</v>
      </c>
    </row>
    <row r="99" spans="1:67" x14ac:dyDescent="0.45">
      <c r="A99" s="10">
        <v>84</v>
      </c>
      <c r="B99" s="10" t="s">
        <v>1318</v>
      </c>
      <c r="C99" s="64" t="s">
        <v>2110</v>
      </c>
      <c r="D99" s="65"/>
      <c r="E99" s="56" t="s">
        <v>2208</v>
      </c>
      <c r="F99" s="289" t="s">
        <v>2118</v>
      </c>
      <c r="G99" s="80" t="s">
        <v>2191</v>
      </c>
      <c r="H99" s="10"/>
      <c r="I99" s="62">
        <v>136.72190173000001</v>
      </c>
      <c r="J99" s="62">
        <v>77.449400980000007</v>
      </c>
      <c r="K99" s="62">
        <v>99.577801260000001</v>
      </c>
      <c r="L99" s="49">
        <v>1200.6830739024531</v>
      </c>
      <c r="M99" s="49">
        <v>1035.9666883328509</v>
      </c>
      <c r="N99" s="49">
        <v>920.61853157360326</v>
      </c>
      <c r="O99" s="61">
        <v>7.1578684358428148</v>
      </c>
      <c r="P99" s="60"/>
      <c r="Q99" s="16" t="s">
        <v>1515</v>
      </c>
      <c r="R99" s="9">
        <v>9.2033141038000004</v>
      </c>
      <c r="S99" s="15" t="s">
        <v>291</v>
      </c>
      <c r="T99" s="9">
        <v>9.4533141038000004</v>
      </c>
      <c r="U99" s="15" t="s">
        <v>291</v>
      </c>
      <c r="V99" s="9">
        <v>12.5</v>
      </c>
      <c r="W99" s="287" t="s">
        <v>1517</v>
      </c>
      <c r="X99" s="9">
        <v>74.8298269342</v>
      </c>
      <c r="Y99" s="287" t="s">
        <v>1517</v>
      </c>
      <c r="Z99" s="9">
        <v>37.4149134671</v>
      </c>
      <c r="AA99" s="15" t="s">
        <v>291</v>
      </c>
      <c r="AB99" s="16" t="s">
        <v>146</v>
      </c>
      <c r="AC99" s="9">
        <v>15.18699105361074</v>
      </c>
      <c r="AD99" s="64" t="s">
        <v>291</v>
      </c>
      <c r="AE99" s="287" t="s">
        <v>1517</v>
      </c>
      <c r="AF99" s="9">
        <v>15.04563397646</v>
      </c>
      <c r="AG99" s="16" t="s">
        <v>1515</v>
      </c>
      <c r="AH99" s="16" t="s">
        <v>146</v>
      </c>
      <c r="AI99" s="9">
        <v>14.360520408662723</v>
      </c>
      <c r="AJ99" s="15" t="s">
        <v>291</v>
      </c>
      <c r="AK99" s="287" t="s">
        <v>203</v>
      </c>
      <c r="AL99" s="9">
        <v>14.077710233098685</v>
      </c>
      <c r="AM99" s="16" t="s">
        <v>1515</v>
      </c>
      <c r="AN99" s="16" t="s">
        <v>1517</v>
      </c>
      <c r="AO99" s="9">
        <v>13.905247331016668</v>
      </c>
      <c r="AP99" s="60"/>
      <c r="AQ99" s="16" t="s">
        <v>1515</v>
      </c>
      <c r="AR99" s="9">
        <v>7.3985850009640011</v>
      </c>
      <c r="AS99" s="16" t="s">
        <v>1515</v>
      </c>
      <c r="AT99" s="9">
        <v>3.6992925004820005</v>
      </c>
      <c r="AU99" s="64" t="s">
        <v>291</v>
      </c>
      <c r="AV99" s="9">
        <v>3.5</v>
      </c>
      <c r="AW99" s="16" t="s">
        <v>1517</v>
      </c>
      <c r="AX99" s="9">
        <v>96.978775014460012</v>
      </c>
      <c r="AY99" s="287" t="s">
        <v>1517</v>
      </c>
      <c r="AZ99" s="9">
        <v>1.7632504548083638</v>
      </c>
      <c r="BA99" s="64" t="s">
        <v>291</v>
      </c>
      <c r="BB99" s="287" t="s">
        <v>1517</v>
      </c>
      <c r="BC99" s="9">
        <v>8.7788026009578637</v>
      </c>
      <c r="BD99" s="64" t="s">
        <v>291</v>
      </c>
      <c r="BE99" s="287" t="s">
        <v>146</v>
      </c>
      <c r="BF99" s="9">
        <v>8.1400818019112648</v>
      </c>
      <c r="BG99" s="287" t="s">
        <v>1515</v>
      </c>
      <c r="BH99" s="16" t="s">
        <v>1517</v>
      </c>
      <c r="BI99" s="9">
        <v>7.7549221750027844</v>
      </c>
      <c r="BJ99" s="16" t="s">
        <v>1515</v>
      </c>
      <c r="BK99" s="287" t="s">
        <v>146</v>
      </c>
      <c r="BL99" s="9">
        <v>7.3043841186677652</v>
      </c>
      <c r="BM99" s="15" t="s">
        <v>291</v>
      </c>
      <c r="BN99" s="287" t="s">
        <v>203</v>
      </c>
      <c r="BO99" s="9">
        <v>7.2425031797045367</v>
      </c>
    </row>
    <row r="100" spans="1:67" x14ac:dyDescent="0.45">
      <c r="A100" s="10">
        <v>85</v>
      </c>
      <c r="B100" s="10" t="s">
        <v>204</v>
      </c>
      <c r="C100" s="64" t="s">
        <v>2110</v>
      </c>
      <c r="D100" s="65"/>
      <c r="E100" s="56" t="s">
        <v>2208</v>
      </c>
      <c r="F100" s="289" t="s">
        <v>2118</v>
      </c>
      <c r="G100" s="80" t="s">
        <v>2191</v>
      </c>
      <c r="H100" s="10"/>
      <c r="I100" s="62">
        <v>184.13990233000001</v>
      </c>
      <c r="J100" s="62">
        <v>122.49650155</v>
      </c>
      <c r="K100" s="62">
        <v>134.35100170000001</v>
      </c>
      <c r="L100" s="49">
        <v>2362.2736501577456</v>
      </c>
      <c r="M100" s="49">
        <v>2094.1526477564707</v>
      </c>
      <c r="N100" s="49">
        <v>1901.7386760535678</v>
      </c>
      <c r="O100" s="61">
        <v>14.66154029456904</v>
      </c>
      <c r="P100" s="60"/>
      <c r="Q100" s="53" t="s">
        <v>185</v>
      </c>
      <c r="R100" s="9">
        <v>11.127694628150001</v>
      </c>
      <c r="S100" s="53" t="s">
        <v>185</v>
      </c>
      <c r="T100" s="9">
        <v>13.9096182851875</v>
      </c>
      <c r="U100" s="67" t="s">
        <v>14</v>
      </c>
      <c r="V100" s="9">
        <v>10</v>
      </c>
      <c r="W100" s="287" t="s">
        <v>1517</v>
      </c>
      <c r="X100" s="9">
        <v>100.4355472582</v>
      </c>
      <c r="Y100" s="287" t="s">
        <v>1517</v>
      </c>
      <c r="Z100" s="9">
        <v>50.217773629100002</v>
      </c>
      <c r="AA100" s="53" t="s">
        <v>185</v>
      </c>
      <c r="AB100" s="16" t="s">
        <v>146</v>
      </c>
      <c r="AC100" s="9">
        <v>19.143295139319605</v>
      </c>
      <c r="AD100" s="76" t="s">
        <v>14</v>
      </c>
      <c r="AE100" s="287" t="s">
        <v>146</v>
      </c>
      <c r="AF100" s="9">
        <v>18.655748601562131</v>
      </c>
      <c r="AG100" s="53" t="s">
        <v>185</v>
      </c>
      <c r="AH100" s="16" t="s">
        <v>1517</v>
      </c>
      <c r="AI100" s="9">
        <v>18.564509995945514</v>
      </c>
      <c r="AJ100" s="53" t="s">
        <v>185</v>
      </c>
      <c r="AK100" s="287" t="s">
        <v>203</v>
      </c>
      <c r="AL100" s="9">
        <v>18.056497424149352</v>
      </c>
      <c r="AM100" s="67" t="s">
        <v>14</v>
      </c>
      <c r="AN100" s="16" t="s">
        <v>1517</v>
      </c>
      <c r="AO100" s="9">
        <v>17.415585051265623</v>
      </c>
      <c r="AP100" s="60"/>
      <c r="AQ100" s="53" t="s">
        <v>185</v>
      </c>
      <c r="AR100" s="9">
        <v>9.3783655560150017</v>
      </c>
      <c r="AS100" s="53" t="s">
        <v>185</v>
      </c>
      <c r="AT100" s="9">
        <v>4.6891827780075008</v>
      </c>
      <c r="AU100" s="76" t="s">
        <v>14</v>
      </c>
      <c r="AV100" s="9">
        <v>3</v>
      </c>
      <c r="AW100" s="16" t="s">
        <v>1517</v>
      </c>
      <c r="AX100" s="9">
        <v>130.26621143566001</v>
      </c>
      <c r="AY100" s="287" t="s">
        <v>1517</v>
      </c>
      <c r="AZ100" s="9">
        <v>2.3684765715574549</v>
      </c>
      <c r="BA100" s="76" t="s">
        <v>14</v>
      </c>
      <c r="BB100" s="287" t="s">
        <v>1517</v>
      </c>
      <c r="BC100" s="9">
        <v>10.617046199239743</v>
      </c>
      <c r="BD100" s="59" t="s">
        <v>185</v>
      </c>
      <c r="BE100" s="287" t="s">
        <v>1517</v>
      </c>
      <c r="BF100" s="9">
        <v>10.149053589209784</v>
      </c>
      <c r="BG100" s="76" t="s">
        <v>14</v>
      </c>
      <c r="BH100" s="16" t="s">
        <v>146</v>
      </c>
      <c r="BI100" s="9">
        <v>9.8874778299702335</v>
      </c>
      <c r="BJ100" s="53" t="s">
        <v>185</v>
      </c>
      <c r="BK100" s="287" t="s">
        <v>146</v>
      </c>
      <c r="BL100" s="9">
        <v>9.5414352199152965</v>
      </c>
      <c r="BM100" s="67" t="s">
        <v>14</v>
      </c>
      <c r="BN100" s="287" t="s">
        <v>203</v>
      </c>
      <c r="BO100" s="9">
        <v>8.834808720693438</v>
      </c>
    </row>
    <row r="101" spans="1:67" x14ac:dyDescent="0.45">
      <c r="A101" s="10">
        <v>86</v>
      </c>
      <c r="B101" s="10" t="s">
        <v>1315</v>
      </c>
      <c r="C101" s="288" t="s">
        <v>1993</v>
      </c>
      <c r="D101" s="65"/>
      <c r="E101" s="290" t="s">
        <v>2201</v>
      </c>
      <c r="F101" s="59" t="s">
        <v>2202</v>
      </c>
      <c r="G101" s="242"/>
      <c r="H101" s="10"/>
      <c r="I101" s="62">
        <v>79.030000999999999</v>
      </c>
      <c r="J101" s="62">
        <v>107.48080136</v>
      </c>
      <c r="K101" s="62">
        <v>140.67340178000001</v>
      </c>
      <c r="L101" s="49">
        <v>971.76987155800271</v>
      </c>
      <c r="M101" s="49">
        <v>1126.0471662170071</v>
      </c>
      <c r="N101" s="49">
        <v>1266.9255756500311</v>
      </c>
      <c r="O101" s="61">
        <v>13.652326915992122</v>
      </c>
      <c r="P101" s="60"/>
      <c r="Q101" s="74" t="s">
        <v>241</v>
      </c>
      <c r="R101" s="9">
        <v>5.7418000600000001</v>
      </c>
      <c r="S101" s="73" t="s">
        <v>121</v>
      </c>
      <c r="T101" s="9">
        <v>6.7418000600000001</v>
      </c>
      <c r="U101" s="68" t="s">
        <v>273</v>
      </c>
      <c r="V101" s="9">
        <v>12</v>
      </c>
      <c r="W101" s="291" t="s">
        <v>108</v>
      </c>
      <c r="X101" s="9">
        <v>32.612000399999999</v>
      </c>
      <c r="Y101" s="288" t="s">
        <v>306</v>
      </c>
      <c r="Z101" s="9">
        <v>13.004737</v>
      </c>
      <c r="AA101" s="73" t="s">
        <v>121</v>
      </c>
      <c r="AB101" s="73" t="s">
        <v>306</v>
      </c>
      <c r="AC101" s="9">
        <v>9.0156051910828037</v>
      </c>
      <c r="AD101" s="77" t="s">
        <v>273</v>
      </c>
      <c r="AE101" s="288" t="s">
        <v>306</v>
      </c>
      <c r="AF101" s="9">
        <v>8.8163540130641334</v>
      </c>
      <c r="AG101" s="74" t="s">
        <v>241</v>
      </c>
      <c r="AH101" s="73" t="s">
        <v>306</v>
      </c>
      <c r="AI101" s="9">
        <v>7.769129600849257</v>
      </c>
      <c r="AJ101" s="73" t="s">
        <v>121</v>
      </c>
      <c r="AK101" s="291" t="s">
        <v>108</v>
      </c>
      <c r="AL101" s="9">
        <v>7.7568421871345024</v>
      </c>
      <c r="AM101" s="73" t="s">
        <v>121</v>
      </c>
      <c r="AN101" s="73" t="s">
        <v>1519</v>
      </c>
      <c r="AO101" s="9">
        <v>7.5523764837078655</v>
      </c>
      <c r="AP101" s="60"/>
      <c r="AQ101" s="74" t="s">
        <v>241</v>
      </c>
      <c r="AR101" s="9">
        <v>5.6232550584999998</v>
      </c>
      <c r="AS101" s="73" t="s">
        <v>121</v>
      </c>
      <c r="AT101" s="9">
        <v>2.8493020233999999</v>
      </c>
      <c r="AU101" s="291" t="s">
        <v>241</v>
      </c>
      <c r="AV101" s="9">
        <v>3.3333333333333002</v>
      </c>
      <c r="AW101" s="74" t="s">
        <v>108</v>
      </c>
      <c r="AX101" s="9">
        <v>42.095600519999998</v>
      </c>
      <c r="AY101" s="288" t="s">
        <v>306</v>
      </c>
      <c r="AZ101" s="9">
        <v>0.90919143971428573</v>
      </c>
      <c r="BA101" s="288" t="s">
        <v>121</v>
      </c>
      <c r="BB101" s="288" t="s">
        <v>306</v>
      </c>
      <c r="BC101" s="9">
        <v>5.136596631289474</v>
      </c>
      <c r="BD101" s="77" t="s">
        <v>273</v>
      </c>
      <c r="BE101" s="288" t="s">
        <v>306</v>
      </c>
      <c r="BF101" s="9">
        <v>4.8527125487500005</v>
      </c>
      <c r="BG101" s="288" t="s">
        <v>121</v>
      </c>
      <c r="BH101" s="74" t="s">
        <v>108</v>
      </c>
      <c r="BI101" s="9">
        <v>4.7181733803809527</v>
      </c>
      <c r="BJ101" s="73" t="s">
        <v>121</v>
      </c>
      <c r="BK101" s="291" t="s">
        <v>69</v>
      </c>
      <c r="BL101" s="9">
        <v>4.6600769213125002</v>
      </c>
      <c r="BM101" s="74" t="s">
        <v>241</v>
      </c>
      <c r="BN101" s="288" t="s">
        <v>306</v>
      </c>
      <c r="BO101" s="9">
        <v>4.4785298343260873</v>
      </c>
    </row>
    <row r="102" spans="1:67" x14ac:dyDescent="0.45">
      <c r="A102" s="10">
        <v>87</v>
      </c>
      <c r="B102" s="10" t="s">
        <v>1312</v>
      </c>
      <c r="C102" s="288" t="s">
        <v>2126</v>
      </c>
      <c r="D102" s="65"/>
      <c r="E102" s="58" t="s">
        <v>2250</v>
      </c>
      <c r="F102" s="288" t="s">
        <v>1993</v>
      </c>
      <c r="G102" s="291" t="s">
        <v>1919</v>
      </c>
      <c r="H102" s="10"/>
      <c r="I102" s="62">
        <v>121.70620154000001</v>
      </c>
      <c r="J102" s="62">
        <v>151.73760192</v>
      </c>
      <c r="K102" s="62">
        <v>175.44660222000002</v>
      </c>
      <c r="L102" s="49">
        <v>1985.783040416133</v>
      </c>
      <c r="M102" s="49">
        <v>2189.6124689018297</v>
      </c>
      <c r="N102" s="49">
        <v>2367.6397666366447</v>
      </c>
      <c r="O102" s="61">
        <v>23.114506847301936</v>
      </c>
      <c r="P102" s="60"/>
      <c r="Q102" s="53" t="s">
        <v>1</v>
      </c>
      <c r="R102" s="9">
        <v>10.1279651155</v>
      </c>
      <c r="S102" s="74" t="s">
        <v>109</v>
      </c>
      <c r="T102" s="9">
        <v>9.2248578804444445</v>
      </c>
      <c r="U102" s="74" t="s">
        <v>241</v>
      </c>
      <c r="V102" s="9">
        <v>10</v>
      </c>
      <c r="W102" s="291" t="s">
        <v>132</v>
      </c>
      <c r="X102" s="9">
        <v>95.930837201200006</v>
      </c>
      <c r="Y102" s="291" t="s">
        <v>132</v>
      </c>
      <c r="Z102" s="9">
        <v>30.945431355225807</v>
      </c>
      <c r="AA102" s="74" t="s">
        <v>109</v>
      </c>
      <c r="AB102" s="74" t="s">
        <v>132</v>
      </c>
      <c r="AC102" s="9">
        <v>13.774437459621621</v>
      </c>
      <c r="AD102" s="291" t="s">
        <v>241</v>
      </c>
      <c r="AE102" s="291" t="s">
        <v>132</v>
      </c>
      <c r="AF102" s="9">
        <v>13.222766604253239</v>
      </c>
      <c r="AG102" s="53" t="s">
        <v>1</v>
      </c>
      <c r="AH102" s="74" t="s">
        <v>132</v>
      </c>
      <c r="AI102" s="9">
        <v>12.645424180290817</v>
      </c>
      <c r="AJ102" s="74" t="s">
        <v>109</v>
      </c>
      <c r="AK102" s="291" t="s">
        <v>108</v>
      </c>
      <c r="AL102" s="9">
        <v>12.131749571302452</v>
      </c>
      <c r="AM102" s="74" t="s">
        <v>109</v>
      </c>
      <c r="AN102" s="73" t="s">
        <v>238</v>
      </c>
      <c r="AO102" s="9">
        <v>11.785431186889518</v>
      </c>
      <c r="AP102" s="60"/>
      <c r="AQ102" s="74" t="s">
        <v>241</v>
      </c>
      <c r="AR102" s="9">
        <v>9.5437753481080012</v>
      </c>
      <c r="AS102" s="74" t="s">
        <v>109</v>
      </c>
      <c r="AT102" s="9">
        <v>3.8225793020420005</v>
      </c>
      <c r="AU102" s="291" t="s">
        <v>241</v>
      </c>
      <c r="AV102" s="9">
        <v>3.3333333333333002</v>
      </c>
      <c r="AW102" s="74" t="s">
        <v>132</v>
      </c>
      <c r="AX102" s="9">
        <v>124.41008836156001</v>
      </c>
      <c r="AY102" s="291" t="s">
        <v>132</v>
      </c>
      <c r="AZ102" s="9">
        <v>1.6588011781541334</v>
      </c>
      <c r="BA102" s="291" t="s">
        <v>241</v>
      </c>
      <c r="BB102" s="291" t="s">
        <v>132</v>
      </c>
      <c r="BC102" s="9">
        <v>8.339932062654043</v>
      </c>
      <c r="BD102" s="291" t="s">
        <v>109</v>
      </c>
      <c r="BE102" s="291" t="s">
        <v>132</v>
      </c>
      <c r="BF102" s="9">
        <v>7.7124989491232263</v>
      </c>
      <c r="BG102" s="291" t="s">
        <v>241</v>
      </c>
      <c r="BH102" s="74" t="s">
        <v>108</v>
      </c>
      <c r="BI102" s="9">
        <v>7.0635432552425268</v>
      </c>
      <c r="BJ102" s="74" t="s">
        <v>241</v>
      </c>
      <c r="BK102" s="291" t="s">
        <v>69</v>
      </c>
      <c r="BL102" s="9">
        <v>6.9589994060142075</v>
      </c>
      <c r="BM102" s="74" t="s">
        <v>109</v>
      </c>
      <c r="BN102" s="291" t="s">
        <v>108</v>
      </c>
      <c r="BO102" s="9">
        <v>6.7474629203987204</v>
      </c>
    </row>
    <row r="103" spans="1:67" x14ac:dyDescent="0.45">
      <c r="A103" s="10">
        <v>88</v>
      </c>
      <c r="B103" s="10" t="s">
        <v>1307</v>
      </c>
      <c r="C103" s="63" t="s">
        <v>1971</v>
      </c>
      <c r="D103" s="65"/>
      <c r="E103" s="80" t="s">
        <v>2175</v>
      </c>
      <c r="F103" s="58" t="s">
        <v>2210</v>
      </c>
      <c r="G103" s="242"/>
      <c r="H103" s="10"/>
      <c r="I103" s="62">
        <v>118.54500150000001</v>
      </c>
      <c r="J103" s="62">
        <v>82.981501050000006</v>
      </c>
      <c r="K103" s="62">
        <v>162.01150205000002</v>
      </c>
      <c r="L103" s="49">
        <v>1374.5065507579516</v>
      </c>
      <c r="M103" s="49">
        <v>1364.3954244750153</v>
      </c>
      <c r="N103" s="49">
        <v>1356.3601028866822</v>
      </c>
      <c r="O103" s="61">
        <v>12.413838661546503</v>
      </c>
      <c r="P103" s="60"/>
      <c r="Q103" s="71" t="s">
        <v>80</v>
      </c>
      <c r="R103" s="9">
        <v>11.669050135000001</v>
      </c>
      <c r="S103" s="54" t="s">
        <v>171</v>
      </c>
      <c r="T103" s="9">
        <v>10.1408751125</v>
      </c>
      <c r="U103" s="54" t="s">
        <v>104</v>
      </c>
      <c r="V103" s="9">
        <v>10</v>
      </c>
      <c r="W103" s="63" t="s">
        <v>124</v>
      </c>
      <c r="X103" s="9">
        <v>57.901600720000005</v>
      </c>
      <c r="Y103" s="64" t="s">
        <v>52</v>
      </c>
      <c r="Z103" s="9">
        <v>31.064821803571434</v>
      </c>
      <c r="AA103" s="54" t="s">
        <v>171</v>
      </c>
      <c r="AB103" s="54" t="s">
        <v>124</v>
      </c>
      <c r="AC103" s="9">
        <v>14.455369154010697</v>
      </c>
      <c r="AD103" s="63" t="s">
        <v>104</v>
      </c>
      <c r="AE103" s="63" t="s">
        <v>124</v>
      </c>
      <c r="AF103" s="9">
        <v>14.268566948801372</v>
      </c>
      <c r="AG103" s="54" t="s">
        <v>171</v>
      </c>
      <c r="AH103" s="15" t="s">
        <v>52</v>
      </c>
      <c r="AI103" s="9">
        <v>13.388837270459346</v>
      </c>
      <c r="AJ103" s="71" t="s">
        <v>80</v>
      </c>
      <c r="AK103" s="63" t="s">
        <v>124</v>
      </c>
      <c r="AL103" s="9">
        <v>13.097046264241806</v>
      </c>
      <c r="AM103" s="54" t="s">
        <v>104</v>
      </c>
      <c r="AN103" s="15" t="s">
        <v>52</v>
      </c>
      <c r="AO103" s="9">
        <v>13.037520809917353</v>
      </c>
      <c r="AP103" s="60"/>
      <c r="AQ103" s="71" t="s">
        <v>80</v>
      </c>
      <c r="AR103" s="9">
        <v>9.4759676072500003</v>
      </c>
      <c r="AS103" s="54" t="s">
        <v>2459</v>
      </c>
      <c r="AT103" s="9">
        <v>3.2739530351000004</v>
      </c>
      <c r="AU103" s="63" t="s">
        <v>171</v>
      </c>
      <c r="AV103" s="9">
        <v>3.5</v>
      </c>
      <c r="AW103" s="15" t="s">
        <v>52</v>
      </c>
      <c r="AX103" s="9">
        <v>101.17052626750001</v>
      </c>
      <c r="AY103" s="63" t="s">
        <v>124</v>
      </c>
      <c r="AZ103" s="9">
        <v>1.4994416187200001</v>
      </c>
      <c r="BA103" s="63" t="s">
        <v>171</v>
      </c>
      <c r="BB103" s="63" t="s">
        <v>124</v>
      </c>
      <c r="BC103" s="9">
        <v>7.9644847669345804</v>
      </c>
      <c r="BD103" s="63" t="s">
        <v>171</v>
      </c>
      <c r="BE103" s="64" t="s">
        <v>52</v>
      </c>
      <c r="BF103" s="9">
        <v>7.9356946175952388</v>
      </c>
      <c r="BG103" s="63" t="s">
        <v>171</v>
      </c>
      <c r="BH103" s="54" t="s">
        <v>1533</v>
      </c>
      <c r="BI103" s="9">
        <v>6.8108516885402306</v>
      </c>
      <c r="BJ103" s="71" t="s">
        <v>80</v>
      </c>
      <c r="BK103" s="63" t="s">
        <v>124</v>
      </c>
      <c r="BL103" s="9">
        <v>6.7947786572816469</v>
      </c>
      <c r="BM103" s="71" t="s">
        <v>80</v>
      </c>
      <c r="BN103" s="64" t="s">
        <v>52</v>
      </c>
      <c r="BO103" s="9">
        <v>6.7554217552637619</v>
      </c>
    </row>
    <row r="104" spans="1:67" x14ac:dyDescent="0.45">
      <c r="A104" s="10">
        <v>88</v>
      </c>
      <c r="B104" s="10" t="s">
        <v>1309</v>
      </c>
      <c r="C104" s="63" t="s">
        <v>2127</v>
      </c>
      <c r="D104" s="65"/>
      <c r="E104" s="80" t="s">
        <v>1892</v>
      </c>
      <c r="F104" s="63" t="s">
        <v>2251</v>
      </c>
      <c r="G104" s="242"/>
      <c r="H104" s="10"/>
      <c r="I104" s="62">
        <v>118.54500150000001</v>
      </c>
      <c r="J104" s="62">
        <v>82.981501050000006</v>
      </c>
      <c r="K104" s="62">
        <v>162.01150205000002</v>
      </c>
      <c r="L104" s="49">
        <v>1374.5065507579516</v>
      </c>
      <c r="M104" s="49">
        <v>1364.3954244750153</v>
      </c>
      <c r="N104" s="49">
        <v>1356.3601028866822</v>
      </c>
      <c r="O104" s="61">
        <v>12.413838661546503</v>
      </c>
      <c r="P104" s="60"/>
      <c r="Q104" s="54" t="s">
        <v>171</v>
      </c>
      <c r="R104" s="9">
        <v>8.1127000900000006</v>
      </c>
      <c r="S104" s="67" t="s">
        <v>66</v>
      </c>
      <c r="T104" s="9">
        <v>10.535240108</v>
      </c>
      <c r="U104" s="54" t="s">
        <v>171</v>
      </c>
      <c r="V104" s="9">
        <v>8.75</v>
      </c>
      <c r="W104" s="63" t="s">
        <v>251</v>
      </c>
      <c r="X104" s="9">
        <v>93.465101170000011</v>
      </c>
      <c r="Y104" s="63" t="s">
        <v>251</v>
      </c>
      <c r="Z104" s="9">
        <v>30.150032635483875</v>
      </c>
      <c r="AA104" s="67" t="s">
        <v>66</v>
      </c>
      <c r="AB104" s="54" t="s">
        <v>124</v>
      </c>
      <c r="AC104" s="9">
        <v>14.473315952631578</v>
      </c>
      <c r="AD104" s="63" t="s">
        <v>171</v>
      </c>
      <c r="AE104" s="63" t="s">
        <v>124</v>
      </c>
      <c r="AF104" s="9">
        <v>14.455369154010697</v>
      </c>
      <c r="AG104" s="67" t="s">
        <v>66</v>
      </c>
      <c r="AH104" s="54" t="s">
        <v>251</v>
      </c>
      <c r="AI104" s="9">
        <v>14.433051443589743</v>
      </c>
      <c r="AJ104" s="54" t="s">
        <v>171</v>
      </c>
      <c r="AK104" s="63" t="s">
        <v>251</v>
      </c>
      <c r="AL104" s="9">
        <v>14.248715398675497</v>
      </c>
      <c r="AM104" s="67" t="s">
        <v>66</v>
      </c>
      <c r="AN104" s="67" t="s">
        <v>91</v>
      </c>
      <c r="AO104" s="9">
        <v>12.853267114932127</v>
      </c>
      <c r="AP104" s="60"/>
      <c r="AQ104" s="54" t="s">
        <v>171</v>
      </c>
      <c r="AR104" s="9">
        <v>6.5479060702000007</v>
      </c>
      <c r="AS104" s="67" t="s">
        <v>66</v>
      </c>
      <c r="AT104" s="9">
        <v>4.6986040468000008</v>
      </c>
      <c r="AU104" s="63" t="s">
        <v>171</v>
      </c>
      <c r="AV104" s="9">
        <v>3.5</v>
      </c>
      <c r="AW104" s="54" t="s">
        <v>251</v>
      </c>
      <c r="AX104" s="9">
        <v>121.20463152100001</v>
      </c>
      <c r="AY104" s="63" t="s">
        <v>251</v>
      </c>
      <c r="AZ104" s="9">
        <v>1.6160617536133335</v>
      </c>
      <c r="BA104" s="63" t="s">
        <v>171</v>
      </c>
      <c r="BB104" s="63" t="s">
        <v>251</v>
      </c>
      <c r="BC104" s="9">
        <v>8.5320087637707012</v>
      </c>
      <c r="BD104" s="63" t="s">
        <v>171</v>
      </c>
      <c r="BE104" s="63" t="s">
        <v>124</v>
      </c>
      <c r="BF104" s="9">
        <v>7.9644847669345804</v>
      </c>
      <c r="BG104" s="63" t="s">
        <v>171</v>
      </c>
      <c r="BH104" s="67" t="s">
        <v>91</v>
      </c>
      <c r="BI104" s="9">
        <v>7.7807708133195881</v>
      </c>
      <c r="BJ104" s="67" t="s">
        <v>66</v>
      </c>
      <c r="BK104" s="63" t="s">
        <v>251</v>
      </c>
      <c r="BL104" s="9">
        <v>7.7247346305454556</v>
      </c>
      <c r="BM104" s="67" t="s">
        <v>66</v>
      </c>
      <c r="BN104" s="63" t="s">
        <v>124</v>
      </c>
      <c r="BO104" s="9">
        <v>7.4014300810000009</v>
      </c>
    </row>
    <row r="105" spans="1:67" x14ac:dyDescent="0.45">
      <c r="A105" s="10">
        <v>89</v>
      </c>
      <c r="B105" s="10" t="s">
        <v>243</v>
      </c>
      <c r="C105" s="63" t="s">
        <v>1971</v>
      </c>
      <c r="D105" s="65"/>
      <c r="E105" s="80" t="s">
        <v>2175</v>
      </c>
      <c r="F105" s="58" t="s">
        <v>2210</v>
      </c>
      <c r="G105" s="242"/>
      <c r="H105" s="10"/>
      <c r="I105" s="62">
        <v>162.01150205000002</v>
      </c>
      <c r="J105" s="62">
        <v>147.78610187000001</v>
      </c>
      <c r="K105" s="62">
        <v>195.99440248000002</v>
      </c>
      <c r="L105" s="49">
        <v>2757.3029127757709</v>
      </c>
      <c r="M105" s="49">
        <v>2802.950364105177</v>
      </c>
      <c r="N105" s="49">
        <v>2840.0118305733131</v>
      </c>
      <c r="O105" s="61">
        <v>25.235754888187099</v>
      </c>
      <c r="P105" s="60"/>
      <c r="Q105" s="54" t="s">
        <v>171</v>
      </c>
      <c r="R105" s="9">
        <v>10.720690123000001</v>
      </c>
      <c r="S105" s="54" t="s">
        <v>171</v>
      </c>
      <c r="T105" s="9">
        <v>13.40086265375</v>
      </c>
      <c r="U105" s="69" t="s">
        <v>10</v>
      </c>
      <c r="V105" s="9">
        <v>12.727</v>
      </c>
      <c r="W105" s="63" t="s">
        <v>251</v>
      </c>
      <c r="X105" s="9">
        <v>127.36897159900001</v>
      </c>
      <c r="Y105" s="64" t="s">
        <v>52</v>
      </c>
      <c r="Z105" s="9">
        <v>41.931446941071435</v>
      </c>
      <c r="AA105" s="54" t="s">
        <v>171</v>
      </c>
      <c r="AB105" s="54" t="s">
        <v>251</v>
      </c>
      <c r="AC105" s="9">
        <v>19.084723406887417</v>
      </c>
      <c r="AD105" s="63" t="s">
        <v>104</v>
      </c>
      <c r="AE105" s="63" t="s">
        <v>251</v>
      </c>
      <c r="AF105" s="9">
        <v>18.822299706525925</v>
      </c>
      <c r="AG105" s="68" t="s">
        <v>273</v>
      </c>
      <c r="AH105" s="54" t="s">
        <v>251</v>
      </c>
      <c r="AI105" s="9">
        <v>18.381367238814658</v>
      </c>
      <c r="AJ105" s="54" t="s">
        <v>171</v>
      </c>
      <c r="AK105" s="64" t="s">
        <v>52</v>
      </c>
      <c r="AL105" s="9">
        <v>17.829580594865366</v>
      </c>
      <c r="AM105" s="54" t="s">
        <v>171</v>
      </c>
      <c r="AN105" s="54" t="s">
        <v>167</v>
      </c>
      <c r="AO105" s="9">
        <v>17.680127841973686</v>
      </c>
      <c r="AP105" s="60"/>
      <c r="AQ105" s="54" t="s">
        <v>2459</v>
      </c>
      <c r="AR105" s="9">
        <v>8.5821382959400019</v>
      </c>
      <c r="AS105" s="54" t="s">
        <v>2459</v>
      </c>
      <c r="AT105" s="9">
        <v>4.2910691479700009</v>
      </c>
      <c r="AU105" s="289" t="s">
        <v>10</v>
      </c>
      <c r="AV105" s="9">
        <v>3.6666666666666998</v>
      </c>
      <c r="AW105" s="54" t="s">
        <v>251</v>
      </c>
      <c r="AX105" s="9">
        <v>165.27966307870003</v>
      </c>
      <c r="AY105" s="63" t="s">
        <v>251</v>
      </c>
      <c r="AZ105" s="9">
        <v>2.2037288410493336</v>
      </c>
      <c r="BA105" s="63" t="s">
        <v>171</v>
      </c>
      <c r="BB105" s="63" t="s">
        <v>251</v>
      </c>
      <c r="BC105" s="9">
        <v>11.468904546155416</v>
      </c>
      <c r="BD105" s="63" t="s">
        <v>171</v>
      </c>
      <c r="BE105" s="63" t="s">
        <v>167</v>
      </c>
      <c r="BF105" s="9">
        <v>11.225401974805839</v>
      </c>
      <c r="BG105" s="63" t="s">
        <v>171</v>
      </c>
      <c r="BH105" s="15" t="s">
        <v>52</v>
      </c>
      <c r="BI105" s="9">
        <v>10.653385818650001</v>
      </c>
      <c r="BJ105" s="68" t="s">
        <v>273</v>
      </c>
      <c r="BK105" s="63" t="s">
        <v>251</v>
      </c>
      <c r="BL105" s="9">
        <v>10.3561642433875</v>
      </c>
      <c r="BM105" s="68" t="s">
        <v>273</v>
      </c>
      <c r="BN105" s="63" t="s">
        <v>167</v>
      </c>
      <c r="BO105" s="9">
        <v>10.152458604780517</v>
      </c>
    </row>
    <row r="106" spans="1:67" x14ac:dyDescent="0.45">
      <c r="A106" s="10">
        <v>89</v>
      </c>
      <c r="B106" s="10" t="s">
        <v>168</v>
      </c>
      <c r="C106" s="63" t="s">
        <v>2127</v>
      </c>
      <c r="D106" s="65"/>
      <c r="E106" s="80" t="s">
        <v>1892</v>
      </c>
      <c r="F106" s="63" t="s">
        <v>2251</v>
      </c>
      <c r="G106" s="242"/>
      <c r="H106" s="10"/>
      <c r="I106" s="62">
        <v>162.01150205000002</v>
      </c>
      <c r="J106" s="62">
        <v>147.78610187000001</v>
      </c>
      <c r="K106" s="62">
        <v>195.99440248000002</v>
      </c>
      <c r="L106" s="49">
        <v>2757.3029127757709</v>
      </c>
      <c r="M106" s="49">
        <v>2802.950364105177</v>
      </c>
      <c r="N106" s="49">
        <v>2840.0118305733131</v>
      </c>
      <c r="O106" s="61">
        <v>25.235754888187099</v>
      </c>
      <c r="P106" s="60"/>
      <c r="Q106" s="67" t="s">
        <v>20</v>
      </c>
      <c r="R106" s="9">
        <v>12.664828147600002</v>
      </c>
      <c r="S106" s="67" t="s">
        <v>66</v>
      </c>
      <c r="T106" s="9">
        <v>13.664828147600002</v>
      </c>
      <c r="U106" s="67" t="s">
        <v>20</v>
      </c>
      <c r="V106" s="9">
        <v>12.727</v>
      </c>
      <c r="W106" s="63" t="s">
        <v>251</v>
      </c>
      <c r="X106" s="9">
        <v>127.36897159900001</v>
      </c>
      <c r="Y106" s="63" t="s">
        <v>251</v>
      </c>
      <c r="Z106" s="9">
        <v>41.086765031935485</v>
      </c>
      <c r="AA106" s="67" t="s">
        <v>20</v>
      </c>
      <c r="AB106" s="54" t="s">
        <v>251</v>
      </c>
      <c r="AC106" s="9">
        <v>19.217445107546219</v>
      </c>
      <c r="AD106" s="76" t="s">
        <v>66</v>
      </c>
      <c r="AE106" s="63" t="s">
        <v>251</v>
      </c>
      <c r="AF106" s="9">
        <v>19.114059195128206</v>
      </c>
      <c r="AG106" s="54" t="s">
        <v>171</v>
      </c>
      <c r="AH106" s="54" t="s">
        <v>251</v>
      </c>
      <c r="AI106" s="9">
        <v>19.084723406887417</v>
      </c>
      <c r="AJ106" s="67" t="s">
        <v>20</v>
      </c>
      <c r="AK106" s="76" t="s">
        <v>160</v>
      </c>
      <c r="AL106" s="9">
        <v>17.896481455216495</v>
      </c>
      <c r="AM106" s="54" t="s">
        <v>171</v>
      </c>
      <c r="AN106" s="67" t="s">
        <v>160</v>
      </c>
      <c r="AO106" s="9">
        <v>17.826117262918032</v>
      </c>
      <c r="AP106" s="60"/>
      <c r="AQ106" s="54" t="s">
        <v>171</v>
      </c>
      <c r="AR106" s="9">
        <v>8.5821382959400019</v>
      </c>
      <c r="AS106" s="67" t="s">
        <v>66</v>
      </c>
      <c r="AT106" s="9">
        <v>6.054758863960001</v>
      </c>
      <c r="AU106" s="76" t="s">
        <v>20</v>
      </c>
      <c r="AV106" s="9">
        <v>4.3333333333333002</v>
      </c>
      <c r="AW106" s="54" t="s">
        <v>251</v>
      </c>
      <c r="AX106" s="9">
        <v>165.27966307870003</v>
      </c>
      <c r="AY106" s="63" t="s">
        <v>251</v>
      </c>
      <c r="AZ106" s="9">
        <v>2.2037288410493336</v>
      </c>
      <c r="BA106" s="63" t="s">
        <v>171</v>
      </c>
      <c r="BB106" s="63" t="s">
        <v>251</v>
      </c>
      <c r="BC106" s="9">
        <v>11.468904546155416</v>
      </c>
      <c r="BD106" s="76" t="s">
        <v>20</v>
      </c>
      <c r="BE106" s="63" t="s">
        <v>251</v>
      </c>
      <c r="BF106" s="9">
        <v>11.334114552602314</v>
      </c>
      <c r="BG106" s="63" t="s">
        <v>171</v>
      </c>
      <c r="BH106" s="54" t="s">
        <v>167</v>
      </c>
      <c r="BI106" s="9">
        <v>11.225401974805839</v>
      </c>
      <c r="BJ106" s="67" t="s">
        <v>20</v>
      </c>
      <c r="BK106" s="63" t="s">
        <v>167</v>
      </c>
      <c r="BL106" s="9">
        <v>11.037381978665627</v>
      </c>
      <c r="BM106" s="54" t="s">
        <v>171</v>
      </c>
      <c r="BN106" s="76" t="s">
        <v>160</v>
      </c>
      <c r="BO106" s="9">
        <v>10.689468745340188</v>
      </c>
    </row>
    <row r="107" spans="1:67" x14ac:dyDescent="0.45">
      <c r="A107" s="10">
        <v>90</v>
      </c>
      <c r="B107" s="10" t="s">
        <v>1302</v>
      </c>
      <c r="C107" s="288" t="s">
        <v>1993</v>
      </c>
      <c r="D107" s="65"/>
      <c r="E107" s="290" t="s">
        <v>2201</v>
      </c>
      <c r="F107" s="59" t="s">
        <v>2202</v>
      </c>
      <c r="G107" s="242"/>
      <c r="H107" s="10"/>
      <c r="I107" s="62">
        <v>103.52930131000001</v>
      </c>
      <c r="J107" s="62">
        <v>117.75470149</v>
      </c>
      <c r="K107" s="62">
        <v>92.465101170000011</v>
      </c>
      <c r="L107" s="49">
        <v>1080.2924368680019</v>
      </c>
      <c r="M107" s="49">
        <v>1083.127523969513</v>
      </c>
      <c r="N107" s="49">
        <v>1085.4009497429056</v>
      </c>
      <c r="O107" s="61">
        <v>9.7411358431341952</v>
      </c>
      <c r="P107" s="60"/>
      <c r="Q107" s="74" t="s">
        <v>241</v>
      </c>
      <c r="R107" s="9">
        <v>7.2117580786000008</v>
      </c>
      <c r="S107" s="15" t="s">
        <v>127</v>
      </c>
      <c r="T107" s="9">
        <v>7.1764650655000004</v>
      </c>
      <c r="U107" s="74" t="s">
        <v>2388</v>
      </c>
      <c r="V107" s="9">
        <v>10</v>
      </c>
      <c r="W107" s="288" t="s">
        <v>238</v>
      </c>
      <c r="X107" s="9">
        <v>44.482306550200001</v>
      </c>
      <c r="Y107" s="288" t="s">
        <v>1524</v>
      </c>
      <c r="Z107" s="9">
        <v>15.238374396684213</v>
      </c>
      <c r="AA107" s="15" t="s">
        <v>127</v>
      </c>
      <c r="AB107" s="73" t="s">
        <v>1524</v>
      </c>
      <c r="AC107" s="9">
        <v>10.103400300388536</v>
      </c>
      <c r="AD107" s="64" t="s">
        <v>127</v>
      </c>
      <c r="AE107" s="288" t="s">
        <v>238</v>
      </c>
      <c r="AF107" s="9">
        <v>9.8005648631341487</v>
      </c>
      <c r="AG107" s="74" t="s">
        <v>241</v>
      </c>
      <c r="AH107" s="73" t="s">
        <v>1524</v>
      </c>
      <c r="AI107" s="9">
        <v>9.3603005127027625</v>
      </c>
      <c r="AJ107" s="74" t="s">
        <v>241</v>
      </c>
      <c r="AK107" s="288" t="s">
        <v>238</v>
      </c>
      <c r="AL107" s="9">
        <v>9.0891827493130091</v>
      </c>
      <c r="AM107" s="15" t="s">
        <v>127</v>
      </c>
      <c r="AN107" s="74" t="s">
        <v>69</v>
      </c>
      <c r="AO107" s="9">
        <v>8.4392473283417093</v>
      </c>
      <c r="AP107" s="60"/>
      <c r="AQ107" s="74" t="s">
        <v>241</v>
      </c>
      <c r="AR107" s="9">
        <v>7.0564641266350003</v>
      </c>
      <c r="AS107" s="15" t="s">
        <v>127</v>
      </c>
      <c r="AT107" s="9">
        <v>3.0188213755450004</v>
      </c>
      <c r="AU107" s="291" t="s">
        <v>241</v>
      </c>
      <c r="AV107" s="9">
        <v>3.3333333333333002</v>
      </c>
      <c r="AW107" s="73" t="s">
        <v>238</v>
      </c>
      <c r="AX107" s="9">
        <v>57.526998515260004</v>
      </c>
      <c r="AY107" s="288" t="s">
        <v>238</v>
      </c>
      <c r="AZ107" s="9">
        <v>0.95878330858766669</v>
      </c>
      <c r="BA107" s="291" t="s">
        <v>241</v>
      </c>
      <c r="BB107" s="288" t="s">
        <v>238</v>
      </c>
      <c r="BC107" s="9">
        <v>5.2560938565826314</v>
      </c>
      <c r="BD107" s="291" t="s">
        <v>241</v>
      </c>
      <c r="BE107" s="291" t="s">
        <v>69</v>
      </c>
      <c r="BF107" s="9">
        <v>5.0434838676384484</v>
      </c>
      <c r="BG107" s="64" t="s">
        <v>127</v>
      </c>
      <c r="BH107" s="73" t="s">
        <v>238</v>
      </c>
      <c r="BI107" s="9">
        <v>4.7771496703745164</v>
      </c>
      <c r="BJ107" s="15" t="s">
        <v>127</v>
      </c>
      <c r="BK107" s="291" t="s">
        <v>69</v>
      </c>
      <c r="BL107" s="9">
        <v>4.6510599344962769</v>
      </c>
      <c r="BM107" s="15" t="s">
        <v>127</v>
      </c>
      <c r="BN107" s="288" t="s">
        <v>1524</v>
      </c>
      <c r="BO107" s="9">
        <v>3.8840305364928573</v>
      </c>
    </row>
    <row r="108" spans="1:67" x14ac:dyDescent="0.45">
      <c r="A108" s="10">
        <v>91</v>
      </c>
      <c r="B108" s="10" t="s">
        <v>110</v>
      </c>
      <c r="C108" s="288" t="s">
        <v>2126</v>
      </c>
      <c r="D108" s="65"/>
      <c r="E108" s="58" t="s">
        <v>2250</v>
      </c>
      <c r="F108" s="288" t="s">
        <v>1993</v>
      </c>
      <c r="G108" s="291" t="s">
        <v>1919</v>
      </c>
      <c r="H108" s="10"/>
      <c r="I108" s="62">
        <v>158.85030201000001</v>
      </c>
      <c r="J108" s="62">
        <v>214.17130271000002</v>
      </c>
      <c r="K108" s="62">
        <v>120.12560152</v>
      </c>
      <c r="L108" s="49">
        <v>2547.9240121301063</v>
      </c>
      <c r="M108" s="49">
        <v>2556.1711703066276</v>
      </c>
      <c r="N108" s="49">
        <v>2562.7881127615001</v>
      </c>
      <c r="O108" s="61">
        <v>21.189313656926103</v>
      </c>
      <c r="P108" s="60"/>
      <c r="Q108" s="74" t="s">
        <v>241</v>
      </c>
      <c r="R108" s="9">
        <v>12.43722174472</v>
      </c>
      <c r="S108" s="74" t="s">
        <v>109</v>
      </c>
      <c r="T108" s="9">
        <v>11.701131245111112</v>
      </c>
      <c r="U108" s="74" t="s">
        <v>241</v>
      </c>
      <c r="V108" s="9">
        <v>10</v>
      </c>
      <c r="W108" s="288" t="s">
        <v>2393</v>
      </c>
      <c r="X108" s="9">
        <v>124.9032355678</v>
      </c>
      <c r="Y108" s="291" t="s">
        <v>132</v>
      </c>
      <c r="Z108" s="9">
        <v>40.291366312193546</v>
      </c>
      <c r="AA108" s="74" t="s">
        <v>109</v>
      </c>
      <c r="AB108" s="74" t="s">
        <v>307</v>
      </c>
      <c r="AC108" s="9">
        <v>18.330093253951951</v>
      </c>
      <c r="AD108" s="291" t="s">
        <v>241</v>
      </c>
      <c r="AE108" s="291" t="s">
        <v>307</v>
      </c>
      <c r="AF108" s="9">
        <v>18.000119526632037</v>
      </c>
      <c r="AG108" s="74" t="s">
        <v>109</v>
      </c>
      <c r="AH108" s="74" t="s">
        <v>132</v>
      </c>
      <c r="AI108" s="9">
        <v>17.68962642808108</v>
      </c>
      <c r="AJ108" s="74" t="s">
        <v>109</v>
      </c>
      <c r="AK108" s="288" t="s">
        <v>197</v>
      </c>
      <c r="AL108" s="9">
        <v>17.453764742373334</v>
      </c>
      <c r="AM108" s="74" t="s">
        <v>241</v>
      </c>
      <c r="AN108" s="74" t="s">
        <v>132</v>
      </c>
      <c r="AO108" s="9">
        <v>17.038721674120865</v>
      </c>
      <c r="AP108" s="60"/>
      <c r="AQ108" s="74" t="s">
        <v>241</v>
      </c>
      <c r="AR108" s="9">
        <v>12.151291201102001</v>
      </c>
      <c r="AS108" s="74" t="s">
        <v>109</v>
      </c>
      <c r="AT108" s="9">
        <v>4.8366132448729999</v>
      </c>
      <c r="AU108" s="291" t="s">
        <v>241</v>
      </c>
      <c r="AV108" s="9">
        <v>3.3333333333333002</v>
      </c>
      <c r="AW108" s="73" t="s">
        <v>2468</v>
      </c>
      <c r="AX108" s="9">
        <v>162.07420623814002</v>
      </c>
      <c r="AY108" s="291" t="s">
        <v>307</v>
      </c>
      <c r="AZ108" s="9">
        <v>2.5002869335782223</v>
      </c>
      <c r="BA108" s="291" t="s">
        <v>241</v>
      </c>
      <c r="BB108" s="291" t="s">
        <v>307</v>
      </c>
      <c r="BC108" s="9">
        <v>11.530601545929587</v>
      </c>
      <c r="BD108" s="291" t="s">
        <v>241</v>
      </c>
      <c r="BE108" s="288" t="s">
        <v>197</v>
      </c>
      <c r="BF108" s="9">
        <v>10.774846393464044</v>
      </c>
      <c r="BG108" s="291" t="s">
        <v>241</v>
      </c>
      <c r="BH108" s="74" t="s">
        <v>132</v>
      </c>
      <c r="BI108" s="9">
        <v>10.774846393464044</v>
      </c>
      <c r="BJ108" s="74" t="s">
        <v>109</v>
      </c>
      <c r="BK108" s="291" t="s">
        <v>307</v>
      </c>
      <c r="BL108" s="9">
        <v>10.503786864143894</v>
      </c>
      <c r="BM108" s="74" t="s">
        <v>109</v>
      </c>
      <c r="BN108" s="288" t="s">
        <v>197</v>
      </c>
      <c r="BO108" s="9">
        <v>9.9087936640106467</v>
      </c>
    </row>
    <row r="109" spans="1:67" x14ac:dyDescent="0.45">
      <c r="A109" s="10">
        <v>92</v>
      </c>
      <c r="B109" s="10" t="s">
        <v>1299</v>
      </c>
      <c r="C109" s="63" t="s">
        <v>2128</v>
      </c>
      <c r="D109" s="65"/>
      <c r="E109" s="80" t="s">
        <v>2252</v>
      </c>
      <c r="F109" s="79" t="s">
        <v>2253</v>
      </c>
      <c r="G109" s="64" t="s">
        <v>2254</v>
      </c>
      <c r="H109" s="58" t="s">
        <v>1903</v>
      </c>
      <c r="I109" s="62">
        <v>158.85030201000001</v>
      </c>
      <c r="J109" s="62">
        <v>64.804600820000005</v>
      </c>
      <c r="K109" s="62">
        <v>92.465101170000011</v>
      </c>
      <c r="L109" s="49">
        <v>1229.6453996818332</v>
      </c>
      <c r="M109" s="49">
        <v>967.64150717134385</v>
      </c>
      <c r="N109" s="49">
        <v>798.84435228630275</v>
      </c>
      <c r="O109" s="61">
        <v>5.6274775357734503</v>
      </c>
      <c r="P109" s="60"/>
      <c r="Q109" s="68" t="s">
        <v>277</v>
      </c>
      <c r="R109" s="9">
        <v>8.6248144964800009</v>
      </c>
      <c r="S109" s="68" t="s">
        <v>273</v>
      </c>
      <c r="T109" s="9">
        <v>11.531018120600001</v>
      </c>
      <c r="U109" s="68" t="s">
        <v>277</v>
      </c>
      <c r="V109" s="9">
        <v>12.727</v>
      </c>
      <c r="W109" s="63" t="s">
        <v>124</v>
      </c>
      <c r="X109" s="9">
        <v>77.248144964800005</v>
      </c>
      <c r="Y109" s="63" t="s">
        <v>124</v>
      </c>
      <c r="Z109" s="9">
        <v>33.586149984695659</v>
      </c>
      <c r="AA109" s="68" t="s">
        <v>273</v>
      </c>
      <c r="AB109" s="54" t="s">
        <v>124</v>
      </c>
      <c r="AC109" s="9">
        <v>19.375369144427836</v>
      </c>
      <c r="AD109" s="76" t="s">
        <v>266</v>
      </c>
      <c r="AE109" s="63" t="s">
        <v>124</v>
      </c>
      <c r="AF109" s="9">
        <v>17.714853712282771</v>
      </c>
      <c r="AG109" s="68" t="s">
        <v>277</v>
      </c>
      <c r="AH109" s="54" t="s">
        <v>124</v>
      </c>
      <c r="AI109" s="9">
        <v>17.347646265266057</v>
      </c>
      <c r="AJ109" s="68" t="s">
        <v>273</v>
      </c>
      <c r="AK109" s="77" t="s">
        <v>1486</v>
      </c>
      <c r="AL109" s="9">
        <v>15.889962110328229</v>
      </c>
      <c r="AM109" s="68" t="s">
        <v>273</v>
      </c>
      <c r="AN109" s="67" t="s">
        <v>160</v>
      </c>
      <c r="AO109" s="9">
        <v>15.709678554395349</v>
      </c>
      <c r="AP109" s="60"/>
      <c r="AQ109" s="68" t="s">
        <v>277</v>
      </c>
      <c r="AR109" s="9">
        <v>7.1951617783900002</v>
      </c>
      <c r="AS109" s="68" t="s">
        <v>273</v>
      </c>
      <c r="AT109" s="9">
        <v>4.7170970670340004</v>
      </c>
      <c r="AU109" s="76" t="s">
        <v>266</v>
      </c>
      <c r="AV109" s="9">
        <v>3.5</v>
      </c>
      <c r="AW109" s="54" t="s">
        <v>124</v>
      </c>
      <c r="AX109" s="9">
        <v>100.12258845424</v>
      </c>
      <c r="AY109" s="63" t="s">
        <v>124</v>
      </c>
      <c r="AZ109" s="9">
        <v>2.0024517690848</v>
      </c>
      <c r="BA109" s="77" t="s">
        <v>273</v>
      </c>
      <c r="BB109" s="63" t="s">
        <v>124</v>
      </c>
      <c r="BC109" s="9">
        <v>10.117407900272076</v>
      </c>
      <c r="BD109" s="76" t="s">
        <v>266</v>
      </c>
      <c r="BE109" s="63" t="s">
        <v>124</v>
      </c>
      <c r="BF109" s="9">
        <v>9.4298117751956081</v>
      </c>
      <c r="BG109" s="77" t="s">
        <v>273</v>
      </c>
      <c r="BH109" s="67" t="s">
        <v>160</v>
      </c>
      <c r="BI109" s="9">
        <v>9.1822891412698127</v>
      </c>
      <c r="BJ109" s="68" t="s">
        <v>273</v>
      </c>
      <c r="BK109" s="77" t="s">
        <v>1486</v>
      </c>
      <c r="BL109" s="9">
        <v>8.7799706054200009</v>
      </c>
      <c r="BM109" s="68" t="s">
        <v>273</v>
      </c>
      <c r="BN109" s="77" t="s">
        <v>129</v>
      </c>
      <c r="BO109" s="9">
        <v>8.3701062536018984</v>
      </c>
    </row>
    <row r="110" spans="1:67" x14ac:dyDescent="0.45">
      <c r="A110" s="10">
        <v>93</v>
      </c>
      <c r="B110" s="10" t="s">
        <v>16</v>
      </c>
      <c r="C110" s="63" t="s">
        <v>2128</v>
      </c>
      <c r="D110" s="65"/>
      <c r="E110" s="80" t="s">
        <v>2252</v>
      </c>
      <c r="F110" s="79" t="s">
        <v>2253</v>
      </c>
      <c r="G110" s="64" t="s">
        <v>2254</v>
      </c>
      <c r="H110" s="58" t="s">
        <v>1903</v>
      </c>
      <c r="I110" s="62">
        <v>188.09140238000001</v>
      </c>
      <c r="J110" s="62">
        <v>96.416601220000004</v>
      </c>
      <c r="K110" s="62">
        <v>113.01290143000001</v>
      </c>
      <c r="L110" s="49">
        <v>1963.400358673985</v>
      </c>
      <c r="M110" s="49">
        <v>1613.4884404779839</v>
      </c>
      <c r="N110" s="49">
        <v>1379.0228177298177</v>
      </c>
      <c r="O110" s="61">
        <v>9.9381200884471941</v>
      </c>
      <c r="P110" s="60"/>
      <c r="Q110" s="68" t="s">
        <v>49</v>
      </c>
      <c r="R110" s="9">
        <v>11.156935728520001</v>
      </c>
      <c r="S110" s="68" t="s">
        <v>49</v>
      </c>
      <c r="T110" s="9">
        <v>15.938479612171431</v>
      </c>
      <c r="U110" s="68" t="s">
        <v>277</v>
      </c>
      <c r="V110" s="9">
        <v>12.727</v>
      </c>
      <c r="W110" s="77" t="s">
        <v>73</v>
      </c>
      <c r="X110" s="9">
        <v>113.854841428</v>
      </c>
      <c r="Y110" s="63" t="s">
        <v>124</v>
      </c>
      <c r="Z110" s="9">
        <v>39.688640496695655</v>
      </c>
      <c r="AA110" s="68" t="s">
        <v>273</v>
      </c>
      <c r="AB110" s="68" t="s">
        <v>73</v>
      </c>
      <c r="AC110" s="9">
        <v>23.610840747395347</v>
      </c>
      <c r="AD110" s="77" t="s">
        <v>49</v>
      </c>
      <c r="AE110" s="77" t="s">
        <v>73</v>
      </c>
      <c r="AF110" s="9">
        <v>23.414638396113208</v>
      </c>
      <c r="AG110" s="68" t="s">
        <v>273</v>
      </c>
      <c r="AH110" s="54" t="s">
        <v>124</v>
      </c>
      <c r="AI110" s="9">
        <v>22.676297485164945</v>
      </c>
      <c r="AJ110" s="68" t="s">
        <v>49</v>
      </c>
      <c r="AK110" s="63" t="s">
        <v>124</v>
      </c>
      <c r="AL110" s="9">
        <v>22.654713632795083</v>
      </c>
      <c r="AM110" s="68" t="s">
        <v>277</v>
      </c>
      <c r="AN110" s="68" t="s">
        <v>73</v>
      </c>
      <c r="AO110" s="9">
        <v>21.601929337154637</v>
      </c>
      <c r="AP110" s="60"/>
      <c r="AQ110" s="68" t="s">
        <v>49</v>
      </c>
      <c r="AR110" s="9">
        <v>9.8026776313840003</v>
      </c>
      <c r="AS110" s="68" t="s">
        <v>273</v>
      </c>
      <c r="AT110" s="9">
        <v>5.4013388156920001</v>
      </c>
      <c r="AU110" s="77" t="s">
        <v>49</v>
      </c>
      <c r="AV110" s="9">
        <v>4</v>
      </c>
      <c r="AW110" s="68" t="s">
        <v>73</v>
      </c>
      <c r="AX110" s="9">
        <v>147.7112938564</v>
      </c>
      <c r="AY110" s="77" t="s">
        <v>73</v>
      </c>
      <c r="AZ110" s="9">
        <v>2.6856598882981819</v>
      </c>
      <c r="BA110" s="77" t="s">
        <v>49</v>
      </c>
      <c r="BB110" s="77" t="s">
        <v>73</v>
      </c>
      <c r="BC110" s="9">
        <v>14.58336966590949</v>
      </c>
      <c r="BD110" s="77" t="s">
        <v>49</v>
      </c>
      <c r="BE110" s="63" t="s">
        <v>124</v>
      </c>
      <c r="BF110" s="9">
        <v>13.306353354168149</v>
      </c>
      <c r="BG110" s="77" t="s">
        <v>273</v>
      </c>
      <c r="BH110" s="68" t="s">
        <v>73</v>
      </c>
      <c r="BI110" s="9">
        <v>12.762198559176898</v>
      </c>
      <c r="BJ110" s="68" t="s">
        <v>49</v>
      </c>
      <c r="BK110" s="76" t="s">
        <v>160</v>
      </c>
      <c r="BL110" s="9">
        <v>11.857352921018519</v>
      </c>
      <c r="BM110" s="68" t="s">
        <v>273</v>
      </c>
      <c r="BN110" s="63" t="s">
        <v>124</v>
      </c>
      <c r="BO110" s="9">
        <v>11.795736717735094</v>
      </c>
    </row>
    <row r="111" spans="1:67" x14ac:dyDescent="0.45">
      <c r="A111" s="10">
        <v>94</v>
      </c>
      <c r="B111" s="10" t="s">
        <v>244</v>
      </c>
      <c r="C111" s="63" t="s">
        <v>2128</v>
      </c>
      <c r="D111" s="65"/>
      <c r="E111" s="80" t="s">
        <v>2252</v>
      </c>
      <c r="F111" s="79" t="s">
        <v>2253</v>
      </c>
      <c r="G111" s="64" t="s">
        <v>2254</v>
      </c>
      <c r="H111" s="58" t="s">
        <v>1903</v>
      </c>
      <c r="I111" s="62">
        <v>218.12280276000001</v>
      </c>
      <c r="J111" s="62">
        <v>129.60920164000001</v>
      </c>
      <c r="K111" s="62">
        <v>134.35100170000001</v>
      </c>
      <c r="L111" s="49">
        <v>2878.3224273838105</v>
      </c>
      <c r="M111" s="49">
        <v>2434.3622750009354</v>
      </c>
      <c r="N111" s="49">
        <v>2129.0302066011245</v>
      </c>
      <c r="O111" s="61">
        <v>15.415177252974209</v>
      </c>
      <c r="P111" s="60"/>
      <c r="Q111" s="68" t="s">
        <v>70</v>
      </c>
      <c r="R111" s="9">
        <v>14.087368165600001</v>
      </c>
      <c r="S111" s="68" t="s">
        <v>49</v>
      </c>
      <c r="T111" s="9">
        <v>18.255187641485715</v>
      </c>
      <c r="U111" s="68" t="s">
        <v>70</v>
      </c>
      <c r="V111" s="9">
        <v>12.5</v>
      </c>
      <c r="W111" s="58" t="s">
        <v>187</v>
      </c>
      <c r="X111" s="9">
        <v>153.685961932</v>
      </c>
      <c r="Y111" s="63" t="s">
        <v>124</v>
      </c>
      <c r="Z111" s="9">
        <v>45.956063184695658</v>
      </c>
      <c r="AA111" s="68" t="s">
        <v>273</v>
      </c>
      <c r="AB111" s="68" t="s">
        <v>73</v>
      </c>
      <c r="AC111" s="9">
        <v>27.172704513395349</v>
      </c>
      <c r="AD111" s="77" t="s">
        <v>49</v>
      </c>
      <c r="AE111" s="77" t="s">
        <v>73</v>
      </c>
      <c r="AF111" s="9">
        <v>26.984408629962264</v>
      </c>
      <c r="AG111" s="68" t="s">
        <v>49</v>
      </c>
      <c r="AH111" s="54" t="s">
        <v>124</v>
      </c>
      <c r="AI111" s="9">
        <v>26.088631954934428</v>
      </c>
      <c r="AJ111" s="68" t="s">
        <v>273</v>
      </c>
      <c r="AK111" s="63" t="s">
        <v>124</v>
      </c>
      <c r="AL111" s="9">
        <v>26.066440105381446</v>
      </c>
      <c r="AM111" s="68" t="s">
        <v>70</v>
      </c>
      <c r="AN111" s="68" t="s">
        <v>73</v>
      </c>
      <c r="AO111" s="9">
        <v>25.547367934476192</v>
      </c>
      <c r="AP111" s="60"/>
      <c r="AQ111" s="68" t="s">
        <v>2461</v>
      </c>
      <c r="AR111" s="9">
        <v>11.208147169168001</v>
      </c>
      <c r="AS111" s="68" t="s">
        <v>273</v>
      </c>
      <c r="AT111" s="9">
        <v>6.1040735845840004</v>
      </c>
      <c r="AU111" s="77" t="s">
        <v>49</v>
      </c>
      <c r="AV111" s="9">
        <v>4</v>
      </c>
      <c r="AW111" s="55" t="s">
        <v>187</v>
      </c>
      <c r="AX111" s="9">
        <v>213.66973269100001</v>
      </c>
      <c r="AY111" s="77" t="s">
        <v>73</v>
      </c>
      <c r="AZ111" s="9">
        <v>3.1115597482327275</v>
      </c>
      <c r="BA111" s="77" t="s">
        <v>49</v>
      </c>
      <c r="BB111" s="77" t="s">
        <v>73</v>
      </c>
      <c r="BC111" s="9">
        <v>16.826562572259665</v>
      </c>
      <c r="BD111" s="77" t="s">
        <v>49</v>
      </c>
      <c r="BE111" s="63" t="s">
        <v>167</v>
      </c>
      <c r="BF111" s="9">
        <v>16.186409305366375</v>
      </c>
      <c r="BG111" s="77" t="s">
        <v>49</v>
      </c>
      <c r="BH111" s="55" t="s">
        <v>187</v>
      </c>
      <c r="BI111" s="9">
        <v>16.13904366592152</v>
      </c>
      <c r="BJ111" s="68" t="s">
        <v>49</v>
      </c>
      <c r="BK111" s="63" t="s">
        <v>124</v>
      </c>
      <c r="BL111" s="9">
        <v>15.345151757743704</v>
      </c>
      <c r="BM111" s="68" t="s">
        <v>273</v>
      </c>
      <c r="BN111" s="77" t="s">
        <v>73</v>
      </c>
      <c r="BO111" s="9">
        <v>14.640196648457243</v>
      </c>
    </row>
    <row r="112" spans="1:67" x14ac:dyDescent="0.45">
      <c r="A112" s="10">
        <v>95</v>
      </c>
      <c r="B112" s="10" t="s">
        <v>1293</v>
      </c>
      <c r="C112" s="80" t="s">
        <v>2122</v>
      </c>
      <c r="D112" s="288" t="s">
        <v>2161</v>
      </c>
      <c r="E112" s="58" t="s">
        <v>2242</v>
      </c>
      <c r="F112" s="64" t="s">
        <v>2243</v>
      </c>
      <c r="G112" s="63" t="s">
        <v>2220</v>
      </c>
      <c r="H112" s="10"/>
      <c r="I112" s="62">
        <v>79.030000999999999</v>
      </c>
      <c r="J112" s="62">
        <v>195.20410247000001</v>
      </c>
      <c r="K112" s="62">
        <v>99.577801260000001</v>
      </c>
      <c r="L112" s="49">
        <v>1101.8379439014066</v>
      </c>
      <c r="M112" s="49">
        <v>1331.3604162674703</v>
      </c>
      <c r="N112" s="49">
        <v>1548.952049297674</v>
      </c>
      <c r="O112" s="61">
        <v>16.263327142806755</v>
      </c>
      <c r="P112" s="60"/>
      <c r="Q112" s="52" t="s">
        <v>41</v>
      </c>
      <c r="R112" s="9">
        <v>6.6901600719999994</v>
      </c>
      <c r="S112" s="52" t="s">
        <v>41</v>
      </c>
      <c r="T112" s="9">
        <v>7.4335111911111103</v>
      </c>
      <c r="U112" s="15" t="s">
        <v>127</v>
      </c>
      <c r="V112" s="9">
        <v>10</v>
      </c>
      <c r="W112" s="56" t="s">
        <v>87</v>
      </c>
      <c r="X112" s="9">
        <v>48.418000599999999</v>
      </c>
      <c r="Y112" s="56" t="s">
        <v>87</v>
      </c>
      <c r="Z112" s="9">
        <v>21.051304608695652</v>
      </c>
      <c r="AA112" s="52" t="s">
        <v>41</v>
      </c>
      <c r="AB112" s="52" t="s">
        <v>40</v>
      </c>
      <c r="AC112" s="9">
        <v>9.4999813295774622</v>
      </c>
      <c r="AD112" s="56" t="s">
        <v>41</v>
      </c>
      <c r="AE112" s="56" t="s">
        <v>87</v>
      </c>
      <c r="AF112" s="9">
        <v>9.4158482075949355</v>
      </c>
      <c r="AG112" s="52" t="s">
        <v>41</v>
      </c>
      <c r="AH112" s="53" t="s">
        <v>0</v>
      </c>
      <c r="AI112" s="9">
        <v>8.9636768182579569</v>
      </c>
      <c r="AJ112" s="15" t="s">
        <v>127</v>
      </c>
      <c r="AK112" s="56" t="s">
        <v>40</v>
      </c>
      <c r="AL112" s="9">
        <v>8.9210260688311696</v>
      </c>
      <c r="AM112" s="15" t="s">
        <v>127</v>
      </c>
      <c r="AN112" s="52" t="s">
        <v>87</v>
      </c>
      <c r="AO112" s="9">
        <v>8.7750407398373973</v>
      </c>
      <c r="AP112" s="60"/>
      <c r="AQ112" s="52" t="s">
        <v>41</v>
      </c>
      <c r="AR112" s="9">
        <v>5.9314720624000001</v>
      </c>
      <c r="AS112" s="52" t="s">
        <v>41</v>
      </c>
      <c r="AT112" s="9">
        <v>2.9657360312000001</v>
      </c>
      <c r="AU112" s="56" t="s">
        <v>41</v>
      </c>
      <c r="AV112" s="9">
        <v>2.5</v>
      </c>
      <c r="AW112" s="52" t="s">
        <v>87</v>
      </c>
      <c r="AX112" s="9">
        <v>62.64340078</v>
      </c>
      <c r="AY112" s="56" t="s">
        <v>87</v>
      </c>
      <c r="AZ112" s="9">
        <v>1.1389709232727272</v>
      </c>
      <c r="BA112" s="56" t="s">
        <v>41</v>
      </c>
      <c r="BB112" s="56" t="s">
        <v>87</v>
      </c>
      <c r="BC112" s="9">
        <v>5.560417107234783</v>
      </c>
      <c r="BD112" s="56" t="s">
        <v>41</v>
      </c>
      <c r="BE112" s="56" t="s">
        <v>40</v>
      </c>
      <c r="BF112" s="9">
        <v>5.4577878518736842</v>
      </c>
      <c r="BG112" s="64" t="s">
        <v>127</v>
      </c>
      <c r="BH112" s="52" t="s">
        <v>87</v>
      </c>
      <c r="BI112" s="9">
        <v>4.6499382040789472</v>
      </c>
      <c r="BJ112" s="52" t="s">
        <v>41</v>
      </c>
      <c r="BK112" s="59" t="s">
        <v>0</v>
      </c>
      <c r="BL112" s="9">
        <v>4.584446241857143</v>
      </c>
      <c r="BM112" s="52" t="s">
        <v>41</v>
      </c>
      <c r="BN112" s="59" t="s">
        <v>184</v>
      </c>
      <c r="BO112" s="9">
        <v>4.584446241857143</v>
      </c>
    </row>
    <row r="113" spans="1:67" x14ac:dyDescent="0.45">
      <c r="A113" s="10">
        <v>96</v>
      </c>
      <c r="B113" s="10" t="s">
        <v>1290</v>
      </c>
      <c r="C113" s="242" t="s">
        <v>1925</v>
      </c>
      <c r="D113" s="65"/>
      <c r="E113" s="289" t="s">
        <v>2239</v>
      </c>
      <c r="F113" s="58" t="s">
        <v>2170</v>
      </c>
      <c r="G113" s="242"/>
      <c r="H113" s="10"/>
      <c r="I113" s="62">
        <v>82.19120104000001</v>
      </c>
      <c r="J113" s="62">
        <v>119.33530151000001</v>
      </c>
      <c r="K113" s="62">
        <v>134.35100170000001</v>
      </c>
      <c r="L113" s="49">
        <v>1040.7112481550848</v>
      </c>
      <c r="M113" s="49">
        <v>1201.9602725687496</v>
      </c>
      <c r="N113" s="49">
        <v>1348.7703351852101</v>
      </c>
      <c r="O113" s="61">
        <v>14.323516174654292</v>
      </c>
      <c r="P113" s="60"/>
      <c r="Q113" s="57" t="s">
        <v>101</v>
      </c>
      <c r="R113" s="9">
        <v>10.8629441248</v>
      </c>
      <c r="S113" s="57" t="s">
        <v>101</v>
      </c>
      <c r="T113" s="9">
        <v>6.7893400779999995</v>
      </c>
      <c r="U113" s="15" t="s">
        <v>288</v>
      </c>
      <c r="V113" s="9">
        <v>10</v>
      </c>
      <c r="W113" s="242" t="s">
        <v>82</v>
      </c>
      <c r="X113" s="9">
        <v>45.383248561600006</v>
      </c>
      <c r="Y113" s="64" t="s">
        <v>52</v>
      </c>
      <c r="Z113" s="9">
        <v>21.976371688571433</v>
      </c>
      <c r="AA113" s="57" t="s">
        <v>101</v>
      </c>
      <c r="AB113" s="57" t="s">
        <v>82</v>
      </c>
      <c r="AC113" s="9">
        <v>10.031933890688528</v>
      </c>
      <c r="AD113" s="64" t="s">
        <v>288</v>
      </c>
      <c r="AE113" s="242" t="s">
        <v>82</v>
      </c>
      <c r="AF113" s="9">
        <v>9.9601301963589748</v>
      </c>
      <c r="AG113" s="57" t="s">
        <v>101</v>
      </c>
      <c r="AH113" s="15" t="s">
        <v>52</v>
      </c>
      <c r="AI113" s="9">
        <v>9.2874679930548307</v>
      </c>
      <c r="AJ113" s="15" t="s">
        <v>288</v>
      </c>
      <c r="AK113" s="64" t="s">
        <v>52</v>
      </c>
      <c r="AL113" s="9">
        <v>9.1538772302479341</v>
      </c>
      <c r="AM113" s="57" t="s">
        <v>101</v>
      </c>
      <c r="AN113" s="57" t="s">
        <v>58</v>
      </c>
      <c r="AO113" s="9">
        <v>9.1429839812859672</v>
      </c>
      <c r="AP113" s="60"/>
      <c r="AQ113" s="57" t="s">
        <v>101</v>
      </c>
      <c r="AR113" s="9">
        <v>11.257461889792001</v>
      </c>
      <c r="AS113" s="57" t="s">
        <v>101</v>
      </c>
      <c r="AT113" s="9">
        <v>2.8143654724480003</v>
      </c>
      <c r="AU113" s="242" t="s">
        <v>101</v>
      </c>
      <c r="AV113" s="9">
        <v>3</v>
      </c>
      <c r="AW113" s="15" t="s">
        <v>52</v>
      </c>
      <c r="AX113" s="9">
        <v>70.451564878800014</v>
      </c>
      <c r="AY113" s="242" t="s">
        <v>82</v>
      </c>
      <c r="AZ113" s="9">
        <v>1.0672404205469093</v>
      </c>
      <c r="BA113" s="242" t="s">
        <v>101</v>
      </c>
      <c r="BB113" s="242" t="s">
        <v>82</v>
      </c>
      <c r="BC113" s="9">
        <v>5.7049098340496558</v>
      </c>
      <c r="BD113" s="242" t="s">
        <v>101</v>
      </c>
      <c r="BE113" s="64" t="s">
        <v>52</v>
      </c>
      <c r="BF113" s="9">
        <v>5.5939764069556182</v>
      </c>
      <c r="BG113" s="242" t="s">
        <v>101</v>
      </c>
      <c r="BH113" s="57" t="s">
        <v>58</v>
      </c>
      <c r="BI113" s="9">
        <v>5.5057423659100007</v>
      </c>
      <c r="BJ113" s="57" t="s">
        <v>101</v>
      </c>
      <c r="BK113" s="242" t="s">
        <v>1516</v>
      </c>
      <c r="BL113" s="9">
        <v>4.8649383436571432</v>
      </c>
      <c r="BM113" s="15" t="s">
        <v>288</v>
      </c>
      <c r="BN113" s="242" t="s">
        <v>82</v>
      </c>
      <c r="BO113" s="9">
        <v>3.8307865296431585</v>
      </c>
    </row>
    <row r="114" spans="1:67" x14ac:dyDescent="0.45">
      <c r="A114" s="10">
        <v>97</v>
      </c>
      <c r="B114" s="10" t="s">
        <v>143</v>
      </c>
      <c r="C114" s="242" t="s">
        <v>1925</v>
      </c>
      <c r="D114" s="65"/>
      <c r="E114" s="289" t="s">
        <v>2239</v>
      </c>
      <c r="F114" s="58" t="s">
        <v>2170</v>
      </c>
      <c r="G114" s="242"/>
      <c r="H114" s="10"/>
      <c r="I114" s="62">
        <v>125.65770159</v>
      </c>
      <c r="J114" s="62">
        <v>164.38240208000002</v>
      </c>
      <c r="K114" s="62">
        <v>168.33390213000001</v>
      </c>
      <c r="L114" s="49">
        <v>2090.2708705519244</v>
      </c>
      <c r="M114" s="49">
        <v>2295.1479344158915</v>
      </c>
      <c r="N114" s="49">
        <v>2473.4160540978264</v>
      </c>
      <c r="O114" s="61">
        <v>23.764642212213595</v>
      </c>
      <c r="P114" s="60"/>
      <c r="Q114" s="57" t="s">
        <v>101</v>
      </c>
      <c r="R114" s="9">
        <v>16.078924190799999</v>
      </c>
      <c r="S114" s="57" t="s">
        <v>101</v>
      </c>
      <c r="T114" s="9">
        <v>10.049327619249999</v>
      </c>
      <c r="U114" s="57" t="s">
        <v>101</v>
      </c>
      <c r="V114" s="9">
        <v>9.375</v>
      </c>
      <c r="W114" s="242" t="s">
        <v>295</v>
      </c>
      <c r="X114" s="9">
        <v>91.473545144799999</v>
      </c>
      <c r="Y114" s="242" t="s">
        <v>295</v>
      </c>
      <c r="Z114" s="9">
        <v>33.87909079437037</v>
      </c>
      <c r="AA114" s="57" t="s">
        <v>101</v>
      </c>
      <c r="AB114" s="57" t="s">
        <v>82</v>
      </c>
      <c r="AC114" s="9">
        <v>15.055521249336065</v>
      </c>
      <c r="AD114" s="242" t="s">
        <v>101</v>
      </c>
      <c r="AE114" s="242" t="s">
        <v>295</v>
      </c>
      <c r="AF114" s="9">
        <v>14.678130538158273</v>
      </c>
      <c r="AG114" s="57" t="s">
        <v>95</v>
      </c>
      <c r="AH114" s="57" t="s">
        <v>82</v>
      </c>
      <c r="AI114" s="9">
        <v>14.348425473614455</v>
      </c>
      <c r="AJ114" s="57" t="s">
        <v>101</v>
      </c>
      <c r="AK114" s="77" t="s">
        <v>73</v>
      </c>
      <c r="AL114" s="9">
        <v>14.091031771719999</v>
      </c>
      <c r="AM114" s="57" t="s">
        <v>95</v>
      </c>
      <c r="AN114" s="57" t="s">
        <v>295</v>
      </c>
      <c r="AO114" s="9">
        <v>14.01073651748905</v>
      </c>
      <c r="AP114" s="60"/>
      <c r="AQ114" s="57" t="s">
        <v>101</v>
      </c>
      <c r="AR114" s="9">
        <v>16.682081158432002</v>
      </c>
      <c r="AS114" s="57" t="s">
        <v>101</v>
      </c>
      <c r="AT114" s="9">
        <v>4.1705202896080005</v>
      </c>
      <c r="AU114" s="242" t="s">
        <v>101</v>
      </c>
      <c r="AV114" s="9">
        <v>3</v>
      </c>
      <c r="AW114" s="55" t="s">
        <v>187</v>
      </c>
      <c r="AX114" s="9">
        <v>123.51625905025</v>
      </c>
      <c r="AY114" s="242" t="s">
        <v>295</v>
      </c>
      <c r="AZ114" s="9">
        <v>1.8248555182806154</v>
      </c>
      <c r="BA114" s="242" t="s">
        <v>101</v>
      </c>
      <c r="BB114" s="242" t="s">
        <v>295</v>
      </c>
      <c r="BC114" s="9">
        <v>9.2195683071947059</v>
      </c>
      <c r="BD114" s="242" t="s">
        <v>101</v>
      </c>
      <c r="BE114" s="58" t="s">
        <v>187</v>
      </c>
      <c r="BF114" s="9">
        <v>8.7607410111711541</v>
      </c>
      <c r="BG114" s="242" t="s">
        <v>101</v>
      </c>
      <c r="BH114" s="57" t="s">
        <v>82</v>
      </c>
      <c r="BI114" s="9">
        <v>8.5692023358100009</v>
      </c>
      <c r="BJ114" s="57" t="s">
        <v>101</v>
      </c>
      <c r="BK114" s="64" t="s">
        <v>52</v>
      </c>
      <c r="BL114" s="9">
        <v>8.4038177233316453</v>
      </c>
      <c r="BM114" s="57" t="s">
        <v>101</v>
      </c>
      <c r="BN114" s="242" t="s">
        <v>58</v>
      </c>
      <c r="BO114" s="9">
        <v>8.2604318382662516</v>
      </c>
    </row>
    <row r="115" spans="1:67" x14ac:dyDescent="0.45">
      <c r="A115" s="10">
        <v>98</v>
      </c>
      <c r="B115" s="10" t="s">
        <v>1289</v>
      </c>
      <c r="C115" s="288" t="s">
        <v>1993</v>
      </c>
      <c r="D115" s="65"/>
      <c r="E115" s="290" t="s">
        <v>2201</v>
      </c>
      <c r="F115" s="59" t="s">
        <v>2202</v>
      </c>
      <c r="G115" s="242"/>
      <c r="H115" s="10"/>
      <c r="I115" s="62">
        <v>154.89880196000001</v>
      </c>
      <c r="J115" s="62">
        <v>109.85170139</v>
      </c>
      <c r="K115" s="62">
        <v>92.465101170000011</v>
      </c>
      <c r="L115" s="49">
        <v>1561.1347005203713</v>
      </c>
      <c r="M115" s="49">
        <v>1352.7632520821303</v>
      </c>
      <c r="N115" s="49">
        <v>1206.2766827286489</v>
      </c>
      <c r="O115" s="61">
        <v>9.1520774081812846</v>
      </c>
      <c r="P115" s="60"/>
      <c r="Q115" s="73" t="s">
        <v>214</v>
      </c>
      <c r="R115" s="9">
        <v>12.152713741120001</v>
      </c>
      <c r="S115" s="73" t="s">
        <v>214</v>
      </c>
      <c r="T115" s="9">
        <v>10.127261450933334</v>
      </c>
      <c r="U115" s="73" t="s">
        <v>2381</v>
      </c>
      <c r="V115" s="9">
        <v>11.667</v>
      </c>
      <c r="W115" s="288" t="s">
        <v>238</v>
      </c>
      <c r="X115" s="9">
        <v>66.057496823199997</v>
      </c>
      <c r="Y115" s="288" t="s">
        <v>1524</v>
      </c>
      <c r="Z115" s="9">
        <v>22.538250804842107</v>
      </c>
      <c r="AA115" s="73" t="s">
        <v>214</v>
      </c>
      <c r="AB115" s="73" t="s">
        <v>1524</v>
      </c>
      <c r="AC115" s="9">
        <v>15.084203144836838</v>
      </c>
      <c r="AD115" s="288" t="s">
        <v>214</v>
      </c>
      <c r="AE115" s="288" t="s">
        <v>238</v>
      </c>
      <c r="AF115" s="9">
        <v>14.62252521546565</v>
      </c>
      <c r="AG115" s="71" t="s">
        <v>144</v>
      </c>
      <c r="AH115" s="73" t="s">
        <v>1524</v>
      </c>
      <c r="AI115" s="9">
        <v>13.879111231363364</v>
      </c>
      <c r="AJ115" s="71" t="s">
        <v>144</v>
      </c>
      <c r="AK115" s="288" t="s">
        <v>238</v>
      </c>
      <c r="AL115" s="9">
        <v>13.473778248328244</v>
      </c>
      <c r="AM115" s="73" t="s">
        <v>214</v>
      </c>
      <c r="AN115" s="15" t="s">
        <v>213</v>
      </c>
      <c r="AO115" s="9">
        <v>11.990878721311313</v>
      </c>
      <c r="AP115" s="60"/>
      <c r="AQ115" s="73" t="s">
        <v>214</v>
      </c>
      <c r="AR115" s="9">
        <v>10.665685242304001</v>
      </c>
      <c r="AS115" s="73" t="s">
        <v>214</v>
      </c>
      <c r="AT115" s="9">
        <v>3.5552284141013337</v>
      </c>
      <c r="AU115" s="80" t="s">
        <v>144</v>
      </c>
      <c r="AV115" s="9">
        <v>4.5</v>
      </c>
      <c r="AW115" s="73" t="s">
        <v>238</v>
      </c>
      <c r="AX115" s="9">
        <v>85.574745870160015</v>
      </c>
      <c r="AY115" s="288" t="s">
        <v>238</v>
      </c>
      <c r="AZ115" s="9">
        <v>1.4262457645026669</v>
      </c>
      <c r="BA115" s="288" t="s">
        <v>214</v>
      </c>
      <c r="BB115" s="288" t="s">
        <v>238</v>
      </c>
      <c r="BC115" s="9">
        <v>8.2788655450785349</v>
      </c>
      <c r="BD115" s="80" t="s">
        <v>144</v>
      </c>
      <c r="BE115" s="288" t="s">
        <v>238</v>
      </c>
      <c r="BF115" s="9">
        <v>7.8403434970902337</v>
      </c>
      <c r="BG115" s="288" t="s">
        <v>214</v>
      </c>
      <c r="BH115" s="15" t="s">
        <v>213</v>
      </c>
      <c r="BI115" s="9">
        <v>6.7224273534180154</v>
      </c>
      <c r="BJ115" s="71" t="s">
        <v>144</v>
      </c>
      <c r="BK115" s="64" t="s">
        <v>213</v>
      </c>
      <c r="BL115" s="9">
        <v>5.9807220462382036</v>
      </c>
      <c r="BM115" s="73" t="s">
        <v>214</v>
      </c>
      <c r="BN115" s="288" t="s">
        <v>1524</v>
      </c>
      <c r="BO115" s="9">
        <v>5.8769873274531301</v>
      </c>
    </row>
    <row r="116" spans="1:67" x14ac:dyDescent="0.45">
      <c r="A116" s="10">
        <v>99</v>
      </c>
      <c r="B116" s="10" t="s">
        <v>215</v>
      </c>
      <c r="C116" s="288" t="s">
        <v>1993</v>
      </c>
      <c r="D116" s="65"/>
      <c r="E116" s="290" t="s">
        <v>2201</v>
      </c>
      <c r="F116" s="59" t="s">
        <v>2202</v>
      </c>
      <c r="G116" s="242"/>
      <c r="H116" s="10"/>
      <c r="I116" s="62">
        <v>201.52650255</v>
      </c>
      <c r="J116" s="62">
        <v>154.89880196000001</v>
      </c>
      <c r="K116" s="62">
        <v>127.23830161000001</v>
      </c>
      <c r="L116" s="49">
        <v>2829.209638745659</v>
      </c>
      <c r="M116" s="49">
        <v>2508.0261483767194</v>
      </c>
      <c r="N116" s="49">
        <v>2277.5378593602986</v>
      </c>
      <c r="O116" s="61">
        <v>17.065616874279836</v>
      </c>
      <c r="P116" s="60"/>
      <c r="Q116" s="73" t="s">
        <v>214</v>
      </c>
      <c r="R116" s="9">
        <v>15.5099081836</v>
      </c>
      <c r="S116" s="53" t="s">
        <v>56</v>
      </c>
      <c r="T116" s="9">
        <v>12.944371574285716</v>
      </c>
      <c r="U116" s="73" t="s">
        <v>2381</v>
      </c>
      <c r="V116" s="9">
        <v>11.667</v>
      </c>
      <c r="W116" s="288" t="s">
        <v>205</v>
      </c>
      <c r="X116" s="9">
        <v>103.7785163005</v>
      </c>
      <c r="Y116" s="288" t="s">
        <v>205</v>
      </c>
      <c r="Z116" s="9">
        <v>54.62027173710527</v>
      </c>
      <c r="AA116" s="73" t="s">
        <v>214</v>
      </c>
      <c r="AB116" s="73" t="s">
        <v>205</v>
      </c>
      <c r="AC116" s="9">
        <v>25.732039692690531</v>
      </c>
      <c r="AD116" s="59" t="s">
        <v>56</v>
      </c>
      <c r="AE116" s="288" t="s">
        <v>205</v>
      </c>
      <c r="AF116" s="9">
        <v>24.420344082888199</v>
      </c>
      <c r="AG116" s="71" t="s">
        <v>144</v>
      </c>
      <c r="AH116" s="73" t="s">
        <v>205</v>
      </c>
      <c r="AI116" s="9">
        <v>23.749601438591228</v>
      </c>
      <c r="AJ116" s="73" t="s">
        <v>214</v>
      </c>
      <c r="AK116" s="288" t="s">
        <v>238</v>
      </c>
      <c r="AL116" s="9">
        <v>18.840374467309164</v>
      </c>
      <c r="AM116" s="73" t="s">
        <v>214</v>
      </c>
      <c r="AN116" s="69" t="s">
        <v>26</v>
      </c>
      <c r="AO116" s="9">
        <v>18.682779206503739</v>
      </c>
      <c r="AP116" s="60"/>
      <c r="AQ116" s="73" t="s">
        <v>214</v>
      </c>
      <c r="AR116" s="9">
        <v>13.575253759120001</v>
      </c>
      <c r="AS116" s="73" t="s">
        <v>214</v>
      </c>
      <c r="AT116" s="9">
        <v>4.5250845863733336</v>
      </c>
      <c r="AU116" s="80" t="s">
        <v>144</v>
      </c>
      <c r="AV116" s="9">
        <v>4.5</v>
      </c>
      <c r="AW116" s="73" t="s">
        <v>205</v>
      </c>
      <c r="AX116" s="9">
        <v>118.89300399175001</v>
      </c>
      <c r="AY116" s="288" t="s">
        <v>205</v>
      </c>
      <c r="AZ116" s="9">
        <v>2.377860079835</v>
      </c>
      <c r="BA116" s="288" t="s">
        <v>214</v>
      </c>
      <c r="BB116" s="288" t="s">
        <v>205</v>
      </c>
      <c r="BC116" s="9">
        <v>12.339041812827642</v>
      </c>
      <c r="BD116" s="80" t="s">
        <v>144</v>
      </c>
      <c r="BE116" s="288" t="s">
        <v>205</v>
      </c>
      <c r="BF116" s="9">
        <v>12.078214457908258</v>
      </c>
      <c r="BG116" s="288" t="s">
        <v>214</v>
      </c>
      <c r="BH116" s="73" t="s">
        <v>238</v>
      </c>
      <c r="BI116" s="9">
        <v>10.659075391950262</v>
      </c>
      <c r="BJ116" s="53" t="s">
        <v>56</v>
      </c>
      <c r="BK116" s="288" t="s">
        <v>205</v>
      </c>
      <c r="BL116" s="9">
        <v>10.290930099945754</v>
      </c>
      <c r="BM116" s="71" t="s">
        <v>144</v>
      </c>
      <c r="BN116" s="288" t="s">
        <v>238</v>
      </c>
      <c r="BO116" s="9">
        <v>10.039435980730232</v>
      </c>
    </row>
    <row r="117" spans="1:67" x14ac:dyDescent="0.45">
      <c r="A117" s="10">
        <v>100</v>
      </c>
      <c r="B117" s="10" t="s">
        <v>1286</v>
      </c>
      <c r="C117" s="290" t="s">
        <v>1992</v>
      </c>
      <c r="D117" s="65"/>
      <c r="E117" s="80" t="s">
        <v>1892</v>
      </c>
      <c r="F117" s="287" t="s">
        <v>2211</v>
      </c>
      <c r="G117" s="242"/>
      <c r="H117" s="10"/>
      <c r="I117" s="62">
        <v>97.99720124000001</v>
      </c>
      <c r="J117" s="62">
        <v>99.577801260000001</v>
      </c>
      <c r="K117" s="62">
        <v>106.69050135000001</v>
      </c>
      <c r="L117" s="49">
        <v>1010.0847559234433</v>
      </c>
      <c r="M117" s="49">
        <v>1027.2306615195371</v>
      </c>
      <c r="N117" s="49">
        <v>1041.1567038517326</v>
      </c>
      <c r="O117" s="61">
        <v>9.6618952543295027</v>
      </c>
      <c r="P117" s="60"/>
      <c r="Q117" s="51" t="s">
        <v>6</v>
      </c>
      <c r="R117" s="9">
        <v>4.5278992446400004</v>
      </c>
      <c r="S117" s="15" t="s">
        <v>127</v>
      </c>
      <c r="T117" s="9">
        <v>6.8998600620000001</v>
      </c>
      <c r="U117" s="51" t="s">
        <v>6</v>
      </c>
      <c r="V117" s="9">
        <v>12.856999999999999</v>
      </c>
      <c r="W117" s="290" t="s">
        <v>182</v>
      </c>
      <c r="X117" s="9">
        <v>48.038656595200003</v>
      </c>
      <c r="Y117" s="290" t="s">
        <v>182</v>
      </c>
      <c r="Z117" s="9">
        <v>19.215462638080002</v>
      </c>
      <c r="AA117" s="51" t="s">
        <v>6</v>
      </c>
      <c r="AB117" s="51" t="s">
        <v>182</v>
      </c>
      <c r="AC117" s="9">
        <v>11.456397766761741</v>
      </c>
      <c r="AD117" s="64" t="s">
        <v>127</v>
      </c>
      <c r="AE117" s="290" t="s">
        <v>182</v>
      </c>
      <c r="AF117" s="9">
        <v>11.005060920693333</v>
      </c>
      <c r="AG117" s="51" t="s">
        <v>6</v>
      </c>
      <c r="AH117" s="51" t="s">
        <v>302</v>
      </c>
      <c r="AI117" s="9">
        <v>10.994185116517819</v>
      </c>
      <c r="AJ117" s="15" t="s">
        <v>127</v>
      </c>
      <c r="AK117" s="290" t="s">
        <v>302</v>
      </c>
      <c r="AL117" s="9">
        <v>10.666018632617142</v>
      </c>
      <c r="AM117" s="51" t="s">
        <v>6</v>
      </c>
      <c r="AN117" s="69" t="s">
        <v>1534</v>
      </c>
      <c r="AO117" s="9">
        <v>9.2657203996235697</v>
      </c>
      <c r="AP117" s="60"/>
      <c r="AQ117" s="51" t="s">
        <v>6</v>
      </c>
      <c r="AR117" s="9">
        <v>4.057512678688</v>
      </c>
      <c r="AS117" s="15" t="s">
        <v>127</v>
      </c>
      <c r="AT117" s="9">
        <v>2.9109454241800004</v>
      </c>
      <c r="AU117" s="290" t="s">
        <v>6</v>
      </c>
      <c r="AV117" s="9">
        <v>4</v>
      </c>
      <c r="AW117" s="51" t="s">
        <v>182</v>
      </c>
      <c r="AX117" s="9">
        <v>69.794035270480009</v>
      </c>
      <c r="AY117" s="290" t="s">
        <v>182</v>
      </c>
      <c r="AZ117" s="9">
        <v>1.2689824594632728</v>
      </c>
      <c r="BA117" s="290" t="s">
        <v>6</v>
      </c>
      <c r="BB117" s="290" t="s">
        <v>182</v>
      </c>
      <c r="BC117" s="9">
        <v>6.6230125380650851</v>
      </c>
      <c r="BD117" s="290" t="s">
        <v>6</v>
      </c>
      <c r="BE117" s="290" t="s">
        <v>302</v>
      </c>
      <c r="BF117" s="9">
        <v>6.0006603956163271</v>
      </c>
      <c r="BG117" s="64" t="s">
        <v>127</v>
      </c>
      <c r="BH117" s="51" t="s">
        <v>182</v>
      </c>
      <c r="BI117" s="9">
        <v>5.2577205065063168</v>
      </c>
      <c r="BJ117" s="51" t="s">
        <v>6</v>
      </c>
      <c r="BK117" s="289" t="s">
        <v>1534</v>
      </c>
      <c r="BL117" s="9">
        <v>5.1979006963037291</v>
      </c>
      <c r="BM117" s="51" t="s">
        <v>6</v>
      </c>
      <c r="BN117" s="59" t="s">
        <v>194</v>
      </c>
      <c r="BO117" s="9">
        <v>5.1493681084350005</v>
      </c>
    </row>
    <row r="118" spans="1:67" x14ac:dyDescent="0.45">
      <c r="A118" s="10">
        <v>101</v>
      </c>
      <c r="B118" s="10" t="s">
        <v>1284</v>
      </c>
      <c r="C118" s="290" t="s">
        <v>1992</v>
      </c>
      <c r="D118" s="65"/>
      <c r="E118" s="80" t="s">
        <v>1892</v>
      </c>
      <c r="F118" s="287" t="s">
        <v>2211</v>
      </c>
      <c r="G118" s="242"/>
      <c r="H118" s="10"/>
      <c r="I118" s="62">
        <v>148.57640188000002</v>
      </c>
      <c r="J118" s="62">
        <v>148.57640188000002</v>
      </c>
      <c r="K118" s="62">
        <v>134.35100170000001</v>
      </c>
      <c r="L118" s="49">
        <v>2099.1583917297385</v>
      </c>
      <c r="M118" s="49">
        <v>2064.2409447323171</v>
      </c>
      <c r="N118" s="49">
        <v>2036.7256418698503</v>
      </c>
      <c r="O118" s="61">
        <v>17.379243025441575</v>
      </c>
      <c r="P118" s="60"/>
      <c r="Q118" s="51" t="s">
        <v>1484</v>
      </c>
      <c r="R118" s="9">
        <v>18.8291682256</v>
      </c>
      <c r="S118" s="15" t="s">
        <v>127</v>
      </c>
      <c r="T118" s="9">
        <v>9.4288200940000007</v>
      </c>
      <c r="U118" s="51" t="s">
        <v>6</v>
      </c>
      <c r="V118" s="9">
        <v>12.856999999999999</v>
      </c>
      <c r="W118" s="64" t="s">
        <v>112</v>
      </c>
      <c r="X118" s="9">
        <v>112.43230141000001</v>
      </c>
      <c r="Y118" s="64" t="s">
        <v>112</v>
      </c>
      <c r="Z118" s="9">
        <v>29.587447739473689</v>
      </c>
      <c r="AA118" s="51" t="s">
        <v>6</v>
      </c>
      <c r="AB118" s="51" t="s">
        <v>182</v>
      </c>
      <c r="AC118" s="9">
        <v>16.839783991401742</v>
      </c>
      <c r="AD118" s="290" t="s">
        <v>6</v>
      </c>
      <c r="AE118" s="290" t="s">
        <v>302</v>
      </c>
      <c r="AF118" s="9">
        <v>16.191887698650184</v>
      </c>
      <c r="AG118" s="15" t="s">
        <v>127</v>
      </c>
      <c r="AH118" s="51" t="s">
        <v>182</v>
      </c>
      <c r="AI118" s="9">
        <v>15.928103116319999</v>
      </c>
      <c r="AJ118" s="15" t="s">
        <v>127</v>
      </c>
      <c r="AK118" s="290" t="s">
        <v>302</v>
      </c>
      <c r="AL118" s="9">
        <v>15.492719493691428</v>
      </c>
      <c r="AM118" s="51" t="s">
        <v>1484</v>
      </c>
      <c r="AN118" s="51" t="s">
        <v>182</v>
      </c>
      <c r="AO118" s="9">
        <v>15.489437937126761</v>
      </c>
      <c r="AP118" s="60"/>
      <c r="AQ118" s="51" t="s">
        <v>1484</v>
      </c>
      <c r="AR118" s="9">
        <v>14.906751215968002</v>
      </c>
      <c r="AS118" s="15" t="s">
        <v>127</v>
      </c>
      <c r="AT118" s="9">
        <v>3.8972398366600003</v>
      </c>
      <c r="AU118" s="290" t="s">
        <v>6</v>
      </c>
      <c r="AV118" s="9">
        <v>4</v>
      </c>
      <c r="AW118" s="15" t="s">
        <v>112</v>
      </c>
      <c r="AX118" s="9">
        <v>145.86199183300002</v>
      </c>
      <c r="AY118" s="290" t="s">
        <v>182</v>
      </c>
      <c r="AZ118" s="9">
        <v>1.9145569839956367</v>
      </c>
      <c r="BA118" s="290" t="s">
        <v>6</v>
      </c>
      <c r="BB118" s="290" t="s">
        <v>182</v>
      </c>
      <c r="BC118" s="9">
        <v>9.7657811744420346</v>
      </c>
      <c r="BD118" s="290" t="s">
        <v>6</v>
      </c>
      <c r="BE118" s="64" t="s">
        <v>112</v>
      </c>
      <c r="BF118" s="9">
        <v>9.6294204390266689</v>
      </c>
      <c r="BG118" s="290" t="s">
        <v>6</v>
      </c>
      <c r="BH118" s="51" t="s">
        <v>302</v>
      </c>
      <c r="BI118" s="9">
        <v>8.8186444312734711</v>
      </c>
      <c r="BJ118" s="51" t="s">
        <v>6</v>
      </c>
      <c r="BK118" s="76" t="s">
        <v>30</v>
      </c>
      <c r="BL118" s="9">
        <v>8.1879527661502056</v>
      </c>
      <c r="BM118" s="15" t="s">
        <v>127</v>
      </c>
      <c r="BN118" s="290" t="s">
        <v>182</v>
      </c>
      <c r="BO118" s="9">
        <v>7.4552536711547379</v>
      </c>
    </row>
    <row r="119" spans="1:67" x14ac:dyDescent="0.45">
      <c r="A119" s="10">
        <v>102</v>
      </c>
      <c r="B119" s="10" t="s">
        <v>1282</v>
      </c>
      <c r="C119" s="79" t="s">
        <v>2129</v>
      </c>
      <c r="D119" s="289" t="s">
        <v>1887</v>
      </c>
      <c r="E119" s="63" t="s">
        <v>2255</v>
      </c>
      <c r="F119" s="58" t="s">
        <v>2256</v>
      </c>
      <c r="G119" s="242"/>
      <c r="H119" s="10"/>
      <c r="I119" s="62">
        <v>96.416601220000004</v>
      </c>
      <c r="J119" s="62">
        <v>110.64200140000001</v>
      </c>
      <c r="K119" s="62">
        <v>134.35100170000001</v>
      </c>
      <c r="L119" s="49">
        <v>1175.5261214910308</v>
      </c>
      <c r="M119" s="49">
        <v>1271.184240365724</v>
      </c>
      <c r="N119" s="49">
        <v>1353.2856379213192</v>
      </c>
      <c r="O119" s="61">
        <v>13.384028066150179</v>
      </c>
      <c r="P119" s="60"/>
      <c r="Q119" s="57" t="s">
        <v>101</v>
      </c>
      <c r="R119" s="9">
        <v>12.569992146400001</v>
      </c>
      <c r="S119" s="57" t="s">
        <v>101</v>
      </c>
      <c r="T119" s="9">
        <v>7.8562450914999999</v>
      </c>
      <c r="U119" s="72" t="s">
        <v>225</v>
      </c>
      <c r="V119" s="9">
        <v>12.727</v>
      </c>
      <c r="W119" s="242" t="s">
        <v>82</v>
      </c>
      <c r="X119" s="9">
        <v>53.064964658800001</v>
      </c>
      <c r="Y119" s="242" t="s">
        <v>82</v>
      </c>
      <c r="Z119" s="9">
        <v>18.951773092428574</v>
      </c>
      <c r="AA119" s="57" t="s">
        <v>101</v>
      </c>
      <c r="AB119" s="57" t="s">
        <v>82</v>
      </c>
      <c r="AC119" s="9">
        <v>11.676017026245903</v>
      </c>
      <c r="AD119" s="79" t="s">
        <v>225</v>
      </c>
      <c r="AE119" s="242" t="s">
        <v>82</v>
      </c>
      <c r="AF119" s="9">
        <v>10.873772273367305</v>
      </c>
      <c r="AG119" s="57" t="s">
        <v>101</v>
      </c>
      <c r="AH119" s="72" t="s">
        <v>264</v>
      </c>
      <c r="AI119" s="9">
        <v>10.741790737748527</v>
      </c>
      <c r="AJ119" s="72" t="s">
        <v>225</v>
      </c>
      <c r="AK119" s="79" t="s">
        <v>264</v>
      </c>
      <c r="AL119" s="9">
        <v>9.7938132127406661</v>
      </c>
      <c r="AM119" s="57" t="s">
        <v>101</v>
      </c>
      <c r="AN119" s="52" t="s">
        <v>282</v>
      </c>
      <c r="AO119" s="9">
        <v>8.8836556971811014</v>
      </c>
      <c r="AP119" s="60"/>
      <c r="AQ119" s="57" t="s">
        <v>101</v>
      </c>
      <c r="AR119" s="9">
        <v>13.032791832256001</v>
      </c>
      <c r="AS119" s="57" t="s">
        <v>101</v>
      </c>
      <c r="AT119" s="9">
        <v>3.2581979580640001</v>
      </c>
      <c r="AU119" s="79" t="s">
        <v>225</v>
      </c>
      <c r="AV119" s="9">
        <v>3.6666666666666998</v>
      </c>
      <c r="AW119" s="57" t="s">
        <v>82</v>
      </c>
      <c r="AX119" s="9">
        <v>68.684454056440003</v>
      </c>
      <c r="AY119" s="242" t="s">
        <v>82</v>
      </c>
      <c r="AZ119" s="9">
        <v>1.2488082555716364</v>
      </c>
      <c r="BA119" s="242" t="s">
        <v>101</v>
      </c>
      <c r="BB119" s="242" t="s">
        <v>82</v>
      </c>
      <c r="BC119" s="9">
        <v>6.6423146528075874</v>
      </c>
      <c r="BD119" s="242" t="s">
        <v>101</v>
      </c>
      <c r="BE119" s="79" t="s">
        <v>264</v>
      </c>
      <c r="BF119" s="9">
        <v>5.9864205602953486</v>
      </c>
      <c r="BG119" s="242" t="s">
        <v>101</v>
      </c>
      <c r="BH119" s="52" t="s">
        <v>282</v>
      </c>
      <c r="BI119" s="9">
        <v>5.8589076828787503</v>
      </c>
      <c r="BJ119" s="72" t="s">
        <v>225</v>
      </c>
      <c r="BK119" s="242" t="s">
        <v>82</v>
      </c>
      <c r="BL119" s="9">
        <v>5.78035570589625</v>
      </c>
      <c r="BM119" s="72" t="s">
        <v>225</v>
      </c>
      <c r="BN119" s="79" t="s">
        <v>264</v>
      </c>
      <c r="BO119" s="9">
        <v>5.0106857943540462</v>
      </c>
    </row>
    <row r="120" spans="1:67" x14ac:dyDescent="0.45">
      <c r="A120" s="10">
        <v>103</v>
      </c>
      <c r="B120" s="10" t="s">
        <v>86</v>
      </c>
      <c r="C120" s="79" t="s">
        <v>2129</v>
      </c>
      <c r="D120" s="289" t="s">
        <v>1887</v>
      </c>
      <c r="E120" s="63" t="s">
        <v>2255</v>
      </c>
      <c r="F120" s="58" t="s">
        <v>2256</v>
      </c>
      <c r="G120" s="242"/>
      <c r="H120" s="10"/>
      <c r="I120" s="62">
        <v>195.99440248000002</v>
      </c>
      <c r="J120" s="62">
        <v>129.60920164000001</v>
      </c>
      <c r="K120" s="62">
        <v>182.55930231000002</v>
      </c>
      <c r="L120" s="49">
        <v>3014.8351471624783</v>
      </c>
      <c r="M120" s="49">
        <v>2780.9231069981715</v>
      </c>
      <c r="N120" s="49">
        <v>2606.9296379665411</v>
      </c>
      <c r="O120" s="61">
        <v>20.946505561394368</v>
      </c>
      <c r="P120" s="60"/>
      <c r="Q120" s="57" t="s">
        <v>101</v>
      </c>
      <c r="R120" s="9">
        <v>24.519328297600001</v>
      </c>
      <c r="S120" s="57" t="s">
        <v>101</v>
      </c>
      <c r="T120" s="9">
        <v>15.324580186</v>
      </c>
      <c r="U120" s="72" t="s">
        <v>225</v>
      </c>
      <c r="V120" s="9">
        <v>12.727</v>
      </c>
      <c r="W120" s="79" t="s">
        <v>9</v>
      </c>
      <c r="X120" s="9">
        <v>212.67395467840001</v>
      </c>
      <c r="Y120" s="79" t="s">
        <v>9</v>
      </c>
      <c r="Z120" s="9">
        <v>43.402847893551019</v>
      </c>
      <c r="AA120" s="57" t="s">
        <v>101</v>
      </c>
      <c r="AB120" s="72" t="s">
        <v>9</v>
      </c>
      <c r="AC120" s="9">
        <v>23.870139923080746</v>
      </c>
      <c r="AD120" s="242" t="s">
        <v>34</v>
      </c>
      <c r="AE120" s="79" t="s">
        <v>9</v>
      </c>
      <c r="AF120" s="9">
        <v>23.55934645171892</v>
      </c>
      <c r="AG120" s="57" t="s">
        <v>101</v>
      </c>
      <c r="AH120" s="57" t="s">
        <v>82</v>
      </c>
      <c r="AI120" s="9">
        <v>23.184598975147541</v>
      </c>
      <c r="AJ120" s="57" t="s">
        <v>34</v>
      </c>
      <c r="AK120" s="242" t="s">
        <v>82</v>
      </c>
      <c r="AL120" s="9">
        <v>22.998008769733634</v>
      </c>
      <c r="AM120" s="57" t="s">
        <v>95</v>
      </c>
      <c r="AN120" s="72" t="s">
        <v>9</v>
      </c>
      <c r="AO120" s="9">
        <v>22.879869463144651</v>
      </c>
      <c r="AP120" s="60"/>
      <c r="AQ120" s="57" t="s">
        <v>101</v>
      </c>
      <c r="AR120" s="9">
        <v>25.460101429504004</v>
      </c>
      <c r="AS120" s="57" t="s">
        <v>101</v>
      </c>
      <c r="AT120" s="9">
        <v>6.3650253573760009</v>
      </c>
      <c r="AU120" s="79" t="s">
        <v>225</v>
      </c>
      <c r="AV120" s="9">
        <v>3.6666666666666998</v>
      </c>
      <c r="AW120" s="72" t="s">
        <v>9</v>
      </c>
      <c r="AX120" s="9">
        <v>230.31345090160002</v>
      </c>
      <c r="AY120" s="79" t="s">
        <v>9</v>
      </c>
      <c r="AZ120" s="9">
        <v>2.8789181362700003</v>
      </c>
      <c r="BA120" s="242" t="s">
        <v>101</v>
      </c>
      <c r="BB120" s="79" t="s">
        <v>9</v>
      </c>
      <c r="BC120" s="9">
        <v>14.459546762588918</v>
      </c>
      <c r="BD120" s="242" t="s">
        <v>34</v>
      </c>
      <c r="BE120" s="79" t="s">
        <v>9</v>
      </c>
      <c r="BF120" s="9">
        <v>13.44615426478464</v>
      </c>
      <c r="BG120" s="242" t="s">
        <v>101</v>
      </c>
      <c r="BH120" s="57" t="s">
        <v>82</v>
      </c>
      <c r="BI120" s="9">
        <v>13.204148384113106</v>
      </c>
      <c r="BJ120" s="72" t="s">
        <v>225</v>
      </c>
      <c r="BK120" s="79" t="s">
        <v>9</v>
      </c>
      <c r="BL120" s="9">
        <v>12.848408349223908</v>
      </c>
      <c r="BM120" s="57" t="s">
        <v>34</v>
      </c>
      <c r="BN120" s="242" t="s">
        <v>82</v>
      </c>
      <c r="BO120" s="9">
        <v>12.077334255548344</v>
      </c>
    </row>
    <row r="121" spans="1:67" x14ac:dyDescent="0.45">
      <c r="A121" s="10">
        <v>103</v>
      </c>
      <c r="B121" s="10" t="s">
        <v>226</v>
      </c>
      <c r="C121" s="79" t="s">
        <v>2130</v>
      </c>
      <c r="D121" s="291" t="s">
        <v>1919</v>
      </c>
      <c r="E121" s="63" t="s">
        <v>2257</v>
      </c>
      <c r="F121" s="80" t="s">
        <v>1892</v>
      </c>
      <c r="G121" s="288" t="s">
        <v>2258</v>
      </c>
      <c r="H121" s="10"/>
      <c r="I121" s="62">
        <v>193.62350245000002</v>
      </c>
      <c r="J121" s="62">
        <v>132.77040168000002</v>
      </c>
      <c r="K121" s="62">
        <v>182.55930231000002</v>
      </c>
      <c r="L121" s="49">
        <v>3014.4680836925422</v>
      </c>
      <c r="M121" s="49">
        <v>2803.1233270106854</v>
      </c>
      <c r="N121" s="49">
        <v>2644.7670033148866</v>
      </c>
      <c r="O121" s="61">
        <v>21.397515208882076</v>
      </c>
      <c r="P121" s="60"/>
      <c r="Q121" s="66" t="s">
        <v>88</v>
      </c>
      <c r="R121" s="9">
        <v>18.426115220500002</v>
      </c>
      <c r="S121" s="66" t="s">
        <v>88</v>
      </c>
      <c r="T121" s="9">
        <v>16.751013836818181</v>
      </c>
      <c r="U121" s="72" t="s">
        <v>225</v>
      </c>
      <c r="V121" s="9">
        <v>12.727</v>
      </c>
      <c r="W121" s="79" t="s">
        <v>9</v>
      </c>
      <c r="X121" s="9">
        <v>210.11338264600002</v>
      </c>
      <c r="Y121" s="79" t="s">
        <v>9</v>
      </c>
      <c r="Z121" s="9">
        <v>42.880282172653061</v>
      </c>
      <c r="AA121" s="66" t="s">
        <v>88</v>
      </c>
      <c r="AB121" s="72" t="s">
        <v>9</v>
      </c>
      <c r="AC121" s="9">
        <v>23.824683165303867</v>
      </c>
      <c r="AD121" s="78" t="s">
        <v>88</v>
      </c>
      <c r="AE121" s="79" t="s">
        <v>264</v>
      </c>
      <c r="AF121" s="9">
        <v>21.56446867954109</v>
      </c>
      <c r="AG121" s="66" t="s">
        <v>88</v>
      </c>
      <c r="AH121" s="66" t="s">
        <v>253</v>
      </c>
      <c r="AI121" s="9">
        <v>21.410938019816932</v>
      </c>
      <c r="AJ121" s="72" t="s">
        <v>225</v>
      </c>
      <c r="AK121" s="79" t="s">
        <v>9</v>
      </c>
      <c r="AL121" s="9">
        <v>21.347796174218978</v>
      </c>
      <c r="AM121" s="72" t="s">
        <v>225</v>
      </c>
      <c r="AN121" s="72" t="s">
        <v>264</v>
      </c>
      <c r="AO121" s="9">
        <v>18.945583025817356</v>
      </c>
      <c r="AP121" s="60"/>
      <c r="AQ121" s="66" t="s">
        <v>88</v>
      </c>
      <c r="AR121" s="9">
        <v>14.592369871990002</v>
      </c>
      <c r="AS121" s="66" t="s">
        <v>88</v>
      </c>
      <c r="AT121" s="9">
        <v>4.8641232906633336</v>
      </c>
      <c r="AU121" s="79" t="s">
        <v>225</v>
      </c>
      <c r="AV121" s="9">
        <v>3.6666666666666998</v>
      </c>
      <c r="AW121" s="72" t="s">
        <v>9</v>
      </c>
      <c r="AX121" s="9">
        <v>227.53949786650003</v>
      </c>
      <c r="AY121" s="79" t="s">
        <v>9</v>
      </c>
      <c r="AZ121" s="9">
        <v>2.8442437233312505</v>
      </c>
      <c r="BA121" s="78" t="s">
        <v>88</v>
      </c>
      <c r="BB121" s="79" t="s">
        <v>9</v>
      </c>
      <c r="BC121" s="9">
        <v>13.771138273696801</v>
      </c>
      <c r="BD121" s="79" t="s">
        <v>225</v>
      </c>
      <c r="BE121" s="79" t="s">
        <v>9</v>
      </c>
      <c r="BF121" s="9">
        <v>12.697369737750998</v>
      </c>
      <c r="BG121" s="78" t="s">
        <v>88</v>
      </c>
      <c r="BH121" s="66" t="s">
        <v>253</v>
      </c>
      <c r="BI121" s="9">
        <v>11.81462726062316</v>
      </c>
      <c r="BJ121" s="66" t="s">
        <v>88</v>
      </c>
      <c r="BK121" s="79" t="s">
        <v>264</v>
      </c>
      <c r="BL121" s="9">
        <v>10.956458618385385</v>
      </c>
      <c r="BM121" s="72" t="s">
        <v>225</v>
      </c>
      <c r="BN121" s="78" t="s">
        <v>253</v>
      </c>
      <c r="BO121" s="9">
        <v>10.571935506030892</v>
      </c>
    </row>
    <row r="122" spans="1:67" x14ac:dyDescent="0.45">
      <c r="A122" s="10">
        <v>104</v>
      </c>
      <c r="B122" s="10" t="s">
        <v>1276</v>
      </c>
      <c r="C122" s="80" t="s">
        <v>1892</v>
      </c>
      <c r="D122" s="65"/>
      <c r="E122" s="288" t="s">
        <v>2214</v>
      </c>
      <c r="F122" s="63" t="s">
        <v>2215</v>
      </c>
      <c r="G122" s="290" t="s">
        <v>1992</v>
      </c>
      <c r="H122" s="10"/>
      <c r="I122" s="62">
        <v>82.981501050000006</v>
      </c>
      <c r="J122" s="62">
        <v>125.65770159</v>
      </c>
      <c r="K122" s="62">
        <v>120.12560152</v>
      </c>
      <c r="L122" s="49">
        <v>1019.5150239180614</v>
      </c>
      <c r="M122" s="49">
        <v>1161.9942591623403</v>
      </c>
      <c r="N122" s="49">
        <v>1290.1858197328772</v>
      </c>
      <c r="O122" s="61">
        <v>13.409677709127759</v>
      </c>
      <c r="P122" s="60"/>
      <c r="Q122" s="71" t="s">
        <v>80</v>
      </c>
      <c r="R122" s="9">
        <v>9.9620021134000005</v>
      </c>
      <c r="S122" s="71" t="s">
        <v>80</v>
      </c>
      <c r="T122" s="9">
        <v>7.1157157952857153</v>
      </c>
      <c r="U122" s="71" t="s">
        <v>80</v>
      </c>
      <c r="V122" s="9">
        <v>8.5709999999999997</v>
      </c>
      <c r="W122" s="80" t="s">
        <v>1490</v>
      </c>
      <c r="X122" s="9">
        <v>50.788900630000001</v>
      </c>
      <c r="Y122" s="64" t="s">
        <v>52</v>
      </c>
      <c r="Z122" s="9">
        <v>22.173946691071432</v>
      </c>
      <c r="AA122" s="71" t="s">
        <v>80</v>
      </c>
      <c r="AB122" s="15" t="s">
        <v>52</v>
      </c>
      <c r="AC122" s="9">
        <v>9.4127340675242124</v>
      </c>
      <c r="AD122" s="80" t="s">
        <v>80</v>
      </c>
      <c r="AE122" s="80" t="s">
        <v>1538</v>
      </c>
      <c r="AF122" s="9">
        <v>8.8520262166599206</v>
      </c>
      <c r="AG122" s="71" t="s">
        <v>80</v>
      </c>
      <c r="AH122" s="71" t="s">
        <v>1504</v>
      </c>
      <c r="AI122" s="9">
        <v>8.8220852831964276</v>
      </c>
      <c r="AJ122" s="71" t="s">
        <v>80</v>
      </c>
      <c r="AK122" s="80" t="s">
        <v>1490</v>
      </c>
      <c r="AL122" s="9">
        <v>8.7623964654272157</v>
      </c>
      <c r="AM122" s="55" t="s">
        <v>53</v>
      </c>
      <c r="AN122" s="15" t="s">
        <v>52</v>
      </c>
      <c r="AO122" s="9">
        <v>7.8676433005794717</v>
      </c>
      <c r="AP122" s="60"/>
      <c r="AQ122" s="71" t="s">
        <v>80</v>
      </c>
      <c r="AR122" s="9">
        <v>8.1198127900900001</v>
      </c>
      <c r="AS122" s="71" t="s">
        <v>80</v>
      </c>
      <c r="AT122" s="9">
        <v>2.7066042633633334</v>
      </c>
      <c r="AU122" s="80" t="s">
        <v>80</v>
      </c>
      <c r="AV122" s="9">
        <v>2.6666666666666998</v>
      </c>
      <c r="AW122" s="15" t="s">
        <v>52</v>
      </c>
      <c r="AX122" s="9">
        <v>71.119368387250006</v>
      </c>
      <c r="AY122" s="64" t="s">
        <v>52</v>
      </c>
      <c r="AZ122" s="9">
        <v>1.0159909769607143</v>
      </c>
      <c r="BA122" s="80" t="s">
        <v>80</v>
      </c>
      <c r="BB122" s="64" t="s">
        <v>52</v>
      </c>
      <c r="BC122" s="9">
        <v>5.2171644146986242</v>
      </c>
      <c r="BD122" s="80" t="s">
        <v>80</v>
      </c>
      <c r="BE122" s="80" t="s">
        <v>1504</v>
      </c>
      <c r="BF122" s="9">
        <v>4.8374064928031917</v>
      </c>
      <c r="BG122" s="80" t="s">
        <v>80</v>
      </c>
      <c r="BH122" s="71" t="s">
        <v>1490</v>
      </c>
      <c r="BI122" s="9">
        <v>4.7394741522548394</v>
      </c>
      <c r="BJ122" s="71" t="s">
        <v>80</v>
      </c>
      <c r="BK122" s="80" t="s">
        <v>1538</v>
      </c>
      <c r="BL122" s="9">
        <v>4.4187192413623899</v>
      </c>
      <c r="BM122" s="55" t="s">
        <v>53</v>
      </c>
      <c r="BN122" s="64" t="s">
        <v>52</v>
      </c>
      <c r="BO122" s="9">
        <v>4.1826950484354839</v>
      </c>
    </row>
    <row r="123" spans="1:67" x14ac:dyDescent="0.45">
      <c r="A123" s="10">
        <v>105</v>
      </c>
      <c r="B123" s="10" t="s">
        <v>54</v>
      </c>
      <c r="C123" s="80" t="s">
        <v>1892</v>
      </c>
      <c r="D123" s="65"/>
      <c r="E123" s="288" t="s">
        <v>2214</v>
      </c>
      <c r="F123" s="63" t="s">
        <v>2215</v>
      </c>
      <c r="G123" s="290" t="s">
        <v>1992</v>
      </c>
      <c r="H123" s="10"/>
      <c r="I123" s="62">
        <v>125.65770159</v>
      </c>
      <c r="J123" s="62">
        <v>158.85030201000001</v>
      </c>
      <c r="K123" s="62">
        <v>134.35100170000001</v>
      </c>
      <c r="L123" s="49">
        <v>1835.7079493484271</v>
      </c>
      <c r="M123" s="49">
        <v>1930.2432553344959</v>
      </c>
      <c r="N123" s="49">
        <v>2009.3648814559044</v>
      </c>
      <c r="O123" s="61">
        <v>18.41626753548265</v>
      </c>
      <c r="P123" s="60"/>
      <c r="Q123" s="71" t="s">
        <v>80</v>
      </c>
      <c r="R123" s="9">
        <v>14.57103177172</v>
      </c>
      <c r="S123" s="71" t="s">
        <v>80</v>
      </c>
      <c r="T123" s="9">
        <v>10.407879836942858</v>
      </c>
      <c r="U123" s="71" t="s">
        <v>80</v>
      </c>
      <c r="V123" s="9">
        <v>8.5709999999999997</v>
      </c>
      <c r="W123" s="80" t="s">
        <v>79</v>
      </c>
      <c r="X123" s="9">
        <v>106.55246933559999</v>
      </c>
      <c r="Y123" s="64" t="s">
        <v>52</v>
      </c>
      <c r="Z123" s="9">
        <v>32.842996826071428</v>
      </c>
      <c r="AA123" s="71" t="s">
        <v>80</v>
      </c>
      <c r="AB123" s="71" t="s">
        <v>79</v>
      </c>
      <c r="AC123" s="9">
        <v>14.672330572906173</v>
      </c>
      <c r="AD123" s="80" t="s">
        <v>80</v>
      </c>
      <c r="AE123" s="64" t="s">
        <v>52</v>
      </c>
      <c r="AF123" s="9">
        <v>13.83018581833535</v>
      </c>
      <c r="AG123" s="71" t="s">
        <v>80</v>
      </c>
      <c r="AH123" s="71" t="s">
        <v>1538</v>
      </c>
      <c r="AI123" s="9">
        <v>13.050535014724696</v>
      </c>
      <c r="AJ123" s="71" t="s">
        <v>80</v>
      </c>
      <c r="AK123" s="80" t="s">
        <v>1490</v>
      </c>
      <c r="AL123" s="9">
        <v>13.016511392674053</v>
      </c>
      <c r="AM123" s="55" t="s">
        <v>53</v>
      </c>
      <c r="AN123" s="71" t="s">
        <v>79</v>
      </c>
      <c r="AO123" s="9">
        <v>12.698538887234937</v>
      </c>
      <c r="AP123" s="60"/>
      <c r="AQ123" s="71" t="s">
        <v>80</v>
      </c>
      <c r="AR123" s="9">
        <v>11.781430796422001</v>
      </c>
      <c r="AS123" s="71" t="s">
        <v>80</v>
      </c>
      <c r="AT123" s="9">
        <v>3.9271435988073335</v>
      </c>
      <c r="AU123" s="80" t="s">
        <v>80</v>
      </c>
      <c r="AV123" s="9">
        <v>2.6666666666666998</v>
      </c>
      <c r="AW123" s="71" t="s">
        <v>79</v>
      </c>
      <c r="AX123" s="9">
        <v>118.61560868824</v>
      </c>
      <c r="AY123" s="80" t="s">
        <v>79</v>
      </c>
      <c r="AZ123" s="9">
        <v>1.8248555182806154</v>
      </c>
      <c r="BA123" s="80" t="s">
        <v>80</v>
      </c>
      <c r="BB123" s="80" t="s">
        <v>79</v>
      </c>
      <c r="BC123" s="9">
        <v>8.4468860653859608</v>
      </c>
      <c r="BD123" s="80" t="s">
        <v>80</v>
      </c>
      <c r="BE123" s="64" t="s">
        <v>52</v>
      </c>
      <c r="BF123" s="9">
        <v>7.7162670573300005</v>
      </c>
      <c r="BG123" s="80" t="s">
        <v>80</v>
      </c>
      <c r="BH123" s="71" t="s">
        <v>1490</v>
      </c>
      <c r="BI123" s="9">
        <v>6.9944295227232267</v>
      </c>
      <c r="BJ123" s="55" t="s">
        <v>53</v>
      </c>
      <c r="BK123" s="80" t="s">
        <v>79</v>
      </c>
      <c r="BL123" s="9">
        <v>6.7976369857111623</v>
      </c>
      <c r="BM123" s="71" t="s">
        <v>80</v>
      </c>
      <c r="BN123" s="80" t="s">
        <v>1538</v>
      </c>
      <c r="BO123" s="9">
        <v>6.4955017791452221</v>
      </c>
    </row>
    <row r="124" spans="1:67" x14ac:dyDescent="0.45">
      <c r="A124" s="10">
        <v>105</v>
      </c>
      <c r="B124" s="10" t="s">
        <v>1275</v>
      </c>
      <c r="C124" s="77" t="s">
        <v>2131</v>
      </c>
      <c r="D124" s="65"/>
      <c r="E124" s="80" t="s">
        <v>2259</v>
      </c>
      <c r="F124" s="63" t="s">
        <v>2260</v>
      </c>
      <c r="G124" s="64" t="s">
        <v>2261</v>
      </c>
      <c r="H124" s="10"/>
      <c r="I124" s="62">
        <v>125.65770159</v>
      </c>
      <c r="J124" s="62">
        <v>158.85030201000001</v>
      </c>
      <c r="K124" s="62">
        <v>134.35100170000001</v>
      </c>
      <c r="L124" s="49">
        <v>1835.7079493484271</v>
      </c>
      <c r="M124" s="49">
        <v>1930.2432553344959</v>
      </c>
      <c r="N124" s="49">
        <v>2009.3648814559044</v>
      </c>
      <c r="O124" s="61">
        <v>18.41626753548265</v>
      </c>
      <c r="P124" s="60"/>
      <c r="Q124" s="70" t="s">
        <v>36</v>
      </c>
      <c r="R124" s="9">
        <v>11.555246933559999</v>
      </c>
      <c r="S124" s="70" t="s">
        <v>36</v>
      </c>
      <c r="T124" s="9">
        <v>10.504769939599999</v>
      </c>
      <c r="U124" s="68" t="s">
        <v>70</v>
      </c>
      <c r="V124" s="9">
        <v>12.5</v>
      </c>
      <c r="W124" s="75" t="s">
        <v>19</v>
      </c>
      <c r="X124" s="9">
        <v>106.55246933559999</v>
      </c>
      <c r="Y124" s="77" t="s">
        <v>73</v>
      </c>
      <c r="Z124" s="9">
        <v>25.464873651333335</v>
      </c>
      <c r="AA124" s="70" t="s">
        <v>36</v>
      </c>
      <c r="AB124" s="68" t="s">
        <v>73</v>
      </c>
      <c r="AC124" s="9">
        <v>15.784806543741176</v>
      </c>
      <c r="AD124" s="77" t="s">
        <v>70</v>
      </c>
      <c r="AE124" s="77" t="s">
        <v>73</v>
      </c>
      <c r="AF124" s="9">
        <v>14.979927800761905</v>
      </c>
      <c r="AG124" s="70" t="s">
        <v>36</v>
      </c>
      <c r="AH124" s="70" t="s">
        <v>19</v>
      </c>
      <c r="AI124" s="9">
        <v>14.612167017842104</v>
      </c>
      <c r="AJ124" s="55" t="s">
        <v>53</v>
      </c>
      <c r="AK124" s="77" t="s">
        <v>73</v>
      </c>
      <c r="AL124" s="9">
        <v>13.528027268447369</v>
      </c>
      <c r="AM124" s="68" t="s">
        <v>70</v>
      </c>
      <c r="AN124" s="70" t="s">
        <v>19</v>
      </c>
      <c r="AO124" s="9">
        <v>13.200690793920634</v>
      </c>
      <c r="AP124" s="60"/>
      <c r="AQ124" s="70" t="s">
        <v>36</v>
      </c>
      <c r="AR124" s="9">
        <v>9.8211706516180008</v>
      </c>
      <c r="AS124" s="70" t="s">
        <v>36</v>
      </c>
      <c r="AT124" s="9">
        <v>3.2737235505393336</v>
      </c>
      <c r="AU124" s="77" t="s">
        <v>70</v>
      </c>
      <c r="AV124" s="9">
        <v>3.6666666666666998</v>
      </c>
      <c r="AW124" s="70" t="s">
        <v>19</v>
      </c>
      <c r="AX124" s="9">
        <v>138.21821013628002</v>
      </c>
      <c r="AY124" s="77" t="s">
        <v>73</v>
      </c>
      <c r="AZ124" s="9">
        <v>1.8002364952763639</v>
      </c>
      <c r="BA124" s="75" t="s">
        <v>36</v>
      </c>
      <c r="BB124" s="77" t="s">
        <v>73</v>
      </c>
      <c r="BC124" s="9">
        <v>8.7445397613770872</v>
      </c>
      <c r="BD124" s="75" t="s">
        <v>36</v>
      </c>
      <c r="BE124" s="75" t="s">
        <v>19</v>
      </c>
      <c r="BF124" s="9">
        <v>8.6715030139689606</v>
      </c>
      <c r="BG124" s="77" t="s">
        <v>70</v>
      </c>
      <c r="BH124" s="68" t="s">
        <v>73</v>
      </c>
      <c r="BI124" s="9">
        <v>8.3385568382662516</v>
      </c>
      <c r="BJ124" s="68" t="s">
        <v>70</v>
      </c>
      <c r="BK124" s="75" t="s">
        <v>19</v>
      </c>
      <c r="BL124" s="9">
        <v>8.250449188255141</v>
      </c>
      <c r="BM124" s="55" t="s">
        <v>53</v>
      </c>
      <c r="BN124" s="77" t="s">
        <v>73</v>
      </c>
      <c r="BO124" s="9">
        <v>6.699969218297821</v>
      </c>
    </row>
    <row r="125" spans="1:67" x14ac:dyDescent="0.45">
      <c r="A125" s="10">
        <v>106</v>
      </c>
      <c r="B125" s="10" t="s">
        <v>117</v>
      </c>
      <c r="C125" s="58" t="s">
        <v>1903</v>
      </c>
      <c r="D125" s="65"/>
      <c r="E125" s="287" t="s">
        <v>2235</v>
      </c>
      <c r="F125" s="289" t="s">
        <v>2236</v>
      </c>
      <c r="G125" s="242"/>
      <c r="H125" s="10"/>
      <c r="I125" s="62">
        <v>188.88170239000002</v>
      </c>
      <c r="J125" s="62">
        <v>154.89880196000001</v>
      </c>
      <c r="K125" s="62">
        <v>120.12560152</v>
      </c>
      <c r="L125" s="49">
        <v>2576.5092470029863</v>
      </c>
      <c r="M125" s="49">
        <v>2311.6159462399401</v>
      </c>
      <c r="N125" s="49">
        <v>2119.448473062811</v>
      </c>
      <c r="O125" s="61">
        <v>16.111638291245558</v>
      </c>
      <c r="P125" s="60"/>
      <c r="Q125" s="55" t="s">
        <v>53</v>
      </c>
      <c r="R125" s="9">
        <v>17.999353215100001</v>
      </c>
      <c r="S125" s="55" t="s">
        <v>53</v>
      </c>
      <c r="T125" s="9">
        <v>13.845656319307693</v>
      </c>
      <c r="U125" s="55" t="s">
        <v>140</v>
      </c>
      <c r="V125" s="9">
        <v>10</v>
      </c>
      <c r="W125" s="58" t="s">
        <v>216</v>
      </c>
      <c r="X125" s="9">
        <v>114.32902143400001</v>
      </c>
      <c r="Y125" s="58" t="s">
        <v>216</v>
      </c>
      <c r="Z125" s="9">
        <v>49.708270188695664</v>
      </c>
      <c r="AA125" s="55" t="s">
        <v>140</v>
      </c>
      <c r="AB125" s="55" t="s">
        <v>216</v>
      </c>
      <c r="AC125" s="9">
        <v>19.753969863734401</v>
      </c>
      <c r="AD125" s="58" t="s">
        <v>53</v>
      </c>
      <c r="AE125" s="58" t="s">
        <v>216</v>
      </c>
      <c r="AF125" s="9">
        <v>19.236768208169938</v>
      </c>
      <c r="AG125" s="55" t="s">
        <v>140</v>
      </c>
      <c r="AH125" s="15" t="s">
        <v>52</v>
      </c>
      <c r="AI125" s="9">
        <v>19.186659657472454</v>
      </c>
      <c r="AJ125" s="55" t="s">
        <v>53</v>
      </c>
      <c r="AK125" s="64" t="s">
        <v>52</v>
      </c>
      <c r="AL125" s="9">
        <v>18.685856020248348</v>
      </c>
      <c r="AM125" s="55" t="s">
        <v>140</v>
      </c>
      <c r="AN125" s="52" t="s">
        <v>87</v>
      </c>
      <c r="AO125" s="9">
        <v>18.242916244614399</v>
      </c>
      <c r="AP125" s="60"/>
      <c r="AQ125" s="55" t="s">
        <v>53</v>
      </c>
      <c r="AR125" s="9">
        <v>14.259495507778002</v>
      </c>
      <c r="AS125" s="55" t="s">
        <v>53</v>
      </c>
      <c r="AT125" s="9">
        <v>4.7531651692593337</v>
      </c>
      <c r="AU125" s="58" t="s">
        <v>140</v>
      </c>
      <c r="AV125" s="9">
        <v>2.5</v>
      </c>
      <c r="AW125" s="15" t="s">
        <v>52</v>
      </c>
      <c r="AX125" s="9">
        <v>160.60503851955002</v>
      </c>
      <c r="AY125" s="58" t="s">
        <v>216</v>
      </c>
      <c r="AZ125" s="9">
        <v>3.2961717303155562</v>
      </c>
      <c r="BA125" s="58" t="s">
        <v>53</v>
      </c>
      <c r="BB125" s="58" t="s">
        <v>216</v>
      </c>
      <c r="BC125" s="9">
        <v>11.830784457038101</v>
      </c>
      <c r="BD125" s="58" t="s">
        <v>140</v>
      </c>
      <c r="BE125" s="58" t="s">
        <v>216</v>
      </c>
      <c r="BF125" s="9">
        <v>11.071879468174316</v>
      </c>
      <c r="BG125" s="58" t="s">
        <v>53</v>
      </c>
      <c r="BH125" s="15" t="s">
        <v>52</v>
      </c>
      <c r="BI125" s="9">
        <v>9.7806449547525816</v>
      </c>
      <c r="BJ125" s="55" t="s">
        <v>53</v>
      </c>
      <c r="BK125" s="56" t="s">
        <v>87</v>
      </c>
      <c r="BL125" s="9">
        <v>9.5969999930365706</v>
      </c>
      <c r="BM125" s="55" t="s">
        <v>140</v>
      </c>
      <c r="BN125" s="64" t="s">
        <v>52</v>
      </c>
      <c r="BO125" s="9">
        <v>8.8658126249483455</v>
      </c>
    </row>
    <row r="126" spans="1:67" x14ac:dyDescent="0.45">
      <c r="A126" s="10">
        <v>107</v>
      </c>
      <c r="B126" s="10" t="s">
        <v>46</v>
      </c>
      <c r="C126" s="58" t="s">
        <v>1903</v>
      </c>
      <c r="D126" s="65"/>
      <c r="E126" s="287" t="s">
        <v>2235</v>
      </c>
      <c r="F126" s="289" t="s">
        <v>2236</v>
      </c>
      <c r="G126" s="242"/>
      <c r="H126" s="10"/>
      <c r="I126" s="62">
        <v>164.38240208000002</v>
      </c>
      <c r="J126" s="62">
        <v>167.54360212</v>
      </c>
      <c r="K126" s="62">
        <v>120.12560152</v>
      </c>
      <c r="L126" s="49">
        <v>2332.0455788268155</v>
      </c>
      <c r="M126" s="49">
        <v>2220.304286763826</v>
      </c>
      <c r="N126" s="49">
        <v>2134.7787345214806</v>
      </c>
      <c r="O126" s="61">
        <v>17.238136502095255</v>
      </c>
      <c r="P126" s="60"/>
      <c r="Q126" s="55" t="s">
        <v>53</v>
      </c>
      <c r="R126" s="9">
        <v>15.794416187200001</v>
      </c>
      <c r="S126" s="55" t="s">
        <v>45</v>
      </c>
      <c r="T126" s="9">
        <v>14.261703277511112</v>
      </c>
      <c r="U126" s="53" t="s">
        <v>51</v>
      </c>
      <c r="V126" s="9">
        <v>11.111000000000001</v>
      </c>
      <c r="W126" s="58" t="s">
        <v>216</v>
      </c>
      <c r="X126" s="9">
        <v>99.629441248000006</v>
      </c>
      <c r="Y126" s="58" t="s">
        <v>216</v>
      </c>
      <c r="Z126" s="9">
        <v>43.317148368695655</v>
      </c>
      <c r="AA126" s="55" t="s">
        <v>45</v>
      </c>
      <c r="AB126" s="55" t="s">
        <v>216</v>
      </c>
      <c r="AC126" s="9">
        <v>19.035097828205718</v>
      </c>
      <c r="AD126" s="58" t="s">
        <v>45</v>
      </c>
      <c r="AE126" s="64" t="s">
        <v>52</v>
      </c>
      <c r="AF126" s="9">
        <v>18.707484866217229</v>
      </c>
      <c r="AG126" s="55" t="s">
        <v>45</v>
      </c>
      <c r="AH126" s="55" t="s">
        <v>44</v>
      </c>
      <c r="AI126" s="9">
        <v>18.051497028637684</v>
      </c>
      <c r="AJ126" s="55" t="s">
        <v>45</v>
      </c>
      <c r="AK126" s="58" t="s">
        <v>106</v>
      </c>
      <c r="AL126" s="9">
        <v>17.557600708386293</v>
      </c>
      <c r="AM126" s="55" t="s">
        <v>45</v>
      </c>
      <c r="AN126" s="74" t="s">
        <v>114</v>
      </c>
      <c r="AO126" s="9">
        <v>16.916281028436579</v>
      </c>
      <c r="AP126" s="60"/>
      <c r="AQ126" s="55" t="s">
        <v>53</v>
      </c>
      <c r="AR126" s="9">
        <v>12.539644626016003</v>
      </c>
      <c r="AS126" s="55" t="s">
        <v>45</v>
      </c>
      <c r="AT126" s="9">
        <v>5.6287309448960006</v>
      </c>
      <c r="AU126" s="58" t="s">
        <v>2458</v>
      </c>
      <c r="AV126" s="9">
        <v>3.5</v>
      </c>
      <c r="AW126" s="15" t="s">
        <v>52</v>
      </c>
      <c r="AX126" s="9">
        <v>139.90312975760003</v>
      </c>
      <c r="AY126" s="58" t="s">
        <v>216</v>
      </c>
      <c r="AZ126" s="9">
        <v>2.8715171916088895</v>
      </c>
      <c r="BA126" s="58" t="s">
        <v>45</v>
      </c>
      <c r="BB126" s="58" t="s">
        <v>216</v>
      </c>
      <c r="BC126" s="9">
        <v>14.547563921623095</v>
      </c>
      <c r="BD126" s="59" t="s">
        <v>51</v>
      </c>
      <c r="BE126" s="58" t="s">
        <v>216</v>
      </c>
      <c r="BF126" s="9">
        <v>12.763082793888662</v>
      </c>
      <c r="BG126" s="58" t="s">
        <v>45</v>
      </c>
      <c r="BH126" s="15" t="s">
        <v>52</v>
      </c>
      <c r="BI126" s="9">
        <v>12.022749935977144</v>
      </c>
      <c r="BJ126" s="55" t="s">
        <v>53</v>
      </c>
      <c r="BK126" s="58" t="s">
        <v>216</v>
      </c>
      <c r="BL126" s="9">
        <v>10.343745940334651</v>
      </c>
      <c r="BM126" s="53" t="s">
        <v>51</v>
      </c>
      <c r="BN126" s="64" t="s">
        <v>52</v>
      </c>
      <c r="BO126" s="9">
        <v>10.191060312800001</v>
      </c>
    </row>
    <row r="127" spans="1:67" x14ac:dyDescent="0.45">
      <c r="A127" s="10">
        <v>108</v>
      </c>
      <c r="B127" s="10" t="s">
        <v>1271</v>
      </c>
      <c r="C127" s="64" t="s">
        <v>1889</v>
      </c>
      <c r="D127" s="65"/>
      <c r="E127" s="58" t="s">
        <v>1903</v>
      </c>
      <c r="F127" s="77"/>
      <c r="G127" s="77" t="s">
        <v>1888</v>
      </c>
      <c r="H127" s="10"/>
      <c r="I127" s="62">
        <v>97.20690123</v>
      </c>
      <c r="J127" s="62">
        <v>120.12560152</v>
      </c>
      <c r="K127" s="62">
        <v>175.44660222000002</v>
      </c>
      <c r="L127" s="49">
        <v>1411.1960998007594</v>
      </c>
      <c r="M127" s="49">
        <v>1613.0645891022925</v>
      </c>
      <c r="N127" s="49">
        <v>1795.1604409882675</v>
      </c>
      <c r="O127" s="61">
        <v>18.815415519222345</v>
      </c>
      <c r="P127" s="60"/>
      <c r="Q127" s="57" t="s">
        <v>95</v>
      </c>
      <c r="R127" s="9">
        <v>6.8324140737999999</v>
      </c>
      <c r="S127" s="68" t="s">
        <v>273</v>
      </c>
      <c r="T127" s="9">
        <v>6.8603450615000003</v>
      </c>
      <c r="U127" s="68" t="s">
        <v>273</v>
      </c>
      <c r="V127" s="9">
        <v>12</v>
      </c>
      <c r="W127" s="64" t="s">
        <v>112</v>
      </c>
      <c r="X127" s="9">
        <v>88.486211107000003</v>
      </c>
      <c r="Y127" s="64" t="s">
        <v>112</v>
      </c>
      <c r="Z127" s="9">
        <v>23.285845028157897</v>
      </c>
      <c r="AA127" s="68" t="s">
        <v>273</v>
      </c>
      <c r="AB127" s="15" t="s">
        <v>112</v>
      </c>
      <c r="AC127" s="9">
        <v>11.934889766646341</v>
      </c>
      <c r="AD127" s="77" t="s">
        <v>273</v>
      </c>
      <c r="AE127" s="79" t="s">
        <v>1485</v>
      </c>
      <c r="AF127" s="9">
        <v>10.836632016219212</v>
      </c>
      <c r="AG127" s="57" t="s">
        <v>95</v>
      </c>
      <c r="AH127" s="15" t="s">
        <v>112</v>
      </c>
      <c r="AI127" s="9">
        <v>10.595294043581081</v>
      </c>
      <c r="AJ127" s="68" t="s">
        <v>273</v>
      </c>
      <c r="AK127" s="64" t="s">
        <v>1508</v>
      </c>
      <c r="AL127" s="9">
        <v>10.510746902639204</v>
      </c>
      <c r="AM127" s="57" t="s">
        <v>95</v>
      </c>
      <c r="AN127" s="72" t="s">
        <v>1485</v>
      </c>
      <c r="AO127" s="9">
        <v>9.7413797435185181</v>
      </c>
      <c r="AP127" s="60"/>
      <c r="AQ127" s="57" t="s">
        <v>95</v>
      </c>
      <c r="AR127" s="9">
        <v>6.0547588639600001</v>
      </c>
      <c r="AS127" s="68" t="s">
        <v>273</v>
      </c>
      <c r="AT127" s="9">
        <v>2.895534573985</v>
      </c>
      <c r="AU127" s="77" t="s">
        <v>273</v>
      </c>
      <c r="AV127" s="9">
        <v>3</v>
      </c>
      <c r="AW127" s="15" t="s">
        <v>112</v>
      </c>
      <c r="AX127" s="9">
        <v>114.7320744391</v>
      </c>
      <c r="AY127" s="64" t="s">
        <v>112</v>
      </c>
      <c r="AZ127" s="9">
        <v>1.4341509304887501</v>
      </c>
      <c r="BA127" s="77" t="s">
        <v>273</v>
      </c>
      <c r="BB127" s="64" t="s">
        <v>112</v>
      </c>
      <c r="BC127" s="9">
        <v>6.9378191474228919</v>
      </c>
      <c r="BD127" s="77" t="s">
        <v>273</v>
      </c>
      <c r="BE127" s="79" t="s">
        <v>1485</v>
      </c>
      <c r="BF127" s="9">
        <v>6.0070724595830187</v>
      </c>
      <c r="BG127" s="77" t="s">
        <v>273</v>
      </c>
      <c r="BH127" s="15" t="s">
        <v>1508</v>
      </c>
      <c r="BI127" s="9">
        <v>5.6727131358699996</v>
      </c>
      <c r="BJ127" s="57" t="s">
        <v>95</v>
      </c>
      <c r="BK127" s="64" t="s">
        <v>112</v>
      </c>
      <c r="BL127" s="9">
        <v>4.7673705518349596</v>
      </c>
      <c r="BM127" s="57" t="s">
        <v>95</v>
      </c>
      <c r="BN127" s="79" t="s">
        <v>1485</v>
      </c>
      <c r="BO127" s="9">
        <v>4.1662446571493597</v>
      </c>
    </row>
    <row r="128" spans="1:67" x14ac:dyDescent="0.45">
      <c r="A128" s="10">
        <v>109</v>
      </c>
      <c r="B128" s="10" t="s">
        <v>1269</v>
      </c>
      <c r="C128" s="63" t="s">
        <v>1971</v>
      </c>
      <c r="D128" s="65"/>
      <c r="E128" s="80" t="s">
        <v>2175</v>
      </c>
      <c r="F128" s="58" t="s">
        <v>2210</v>
      </c>
      <c r="G128" s="242"/>
      <c r="H128" s="10"/>
      <c r="I128" s="62">
        <v>105.90020134000001</v>
      </c>
      <c r="J128" s="62">
        <v>123.28680156000001</v>
      </c>
      <c r="K128" s="62">
        <v>106.69050135000001</v>
      </c>
      <c r="L128" s="49">
        <v>1214.5571546497606</v>
      </c>
      <c r="M128" s="49">
        <v>1247.2669607885136</v>
      </c>
      <c r="N128" s="49">
        <v>1274.0679406248491</v>
      </c>
      <c r="O128" s="61">
        <v>11.709859538994834</v>
      </c>
      <c r="P128" s="60"/>
      <c r="Q128" s="54" t="s">
        <v>104</v>
      </c>
      <c r="R128" s="9">
        <v>6.7186108723600002</v>
      </c>
      <c r="S128" s="54" t="s">
        <v>104</v>
      </c>
      <c r="T128" s="9">
        <v>8.39826359045</v>
      </c>
      <c r="U128" s="69" t="s">
        <v>10</v>
      </c>
      <c r="V128" s="9">
        <v>12.727</v>
      </c>
      <c r="W128" s="63" t="s">
        <v>124</v>
      </c>
      <c r="X128" s="9">
        <v>51.832096643200003</v>
      </c>
      <c r="Y128" s="63" t="s">
        <v>124</v>
      </c>
      <c r="Z128" s="9">
        <v>22.535694192695654</v>
      </c>
      <c r="AA128" s="54" t="s">
        <v>104</v>
      </c>
      <c r="AB128" s="54" t="s">
        <v>124</v>
      </c>
      <c r="AC128" s="9">
        <v>12.852522547321918</v>
      </c>
      <c r="AD128" s="64" t="s">
        <v>127</v>
      </c>
      <c r="AE128" s="63" t="s">
        <v>124</v>
      </c>
      <c r="AF128" s="9">
        <v>12.096869449068494</v>
      </c>
      <c r="AG128" s="69" t="s">
        <v>10</v>
      </c>
      <c r="AH128" s="54" t="s">
        <v>124</v>
      </c>
      <c r="AI128" s="9">
        <v>11.93119101324312</v>
      </c>
      <c r="AJ128" s="54" t="s">
        <v>104</v>
      </c>
      <c r="AK128" s="63" t="s">
        <v>1533</v>
      </c>
      <c r="AL128" s="9">
        <v>11.183608411687116</v>
      </c>
      <c r="AM128" s="54" t="s">
        <v>104</v>
      </c>
      <c r="AN128" s="67" t="s">
        <v>160</v>
      </c>
      <c r="AO128" s="9">
        <v>10.668924811031252</v>
      </c>
      <c r="AP128" s="60"/>
      <c r="AQ128" s="54" t="s">
        <v>104</v>
      </c>
      <c r="AR128" s="9">
        <v>5.9561294227120003</v>
      </c>
      <c r="AS128" s="15" t="s">
        <v>127</v>
      </c>
      <c r="AT128" s="9">
        <v>3.0650539261300001</v>
      </c>
      <c r="AU128" s="289" t="s">
        <v>10</v>
      </c>
      <c r="AV128" s="9">
        <v>3.6666666666666998</v>
      </c>
      <c r="AW128" s="54" t="s">
        <v>124</v>
      </c>
      <c r="AX128" s="9">
        <v>67.081725636160002</v>
      </c>
      <c r="AY128" s="63" t="s">
        <v>124</v>
      </c>
      <c r="AZ128" s="9">
        <v>1.3416345127232001</v>
      </c>
      <c r="BA128" s="289" t="s">
        <v>10</v>
      </c>
      <c r="BB128" s="63" t="s">
        <v>124</v>
      </c>
      <c r="BC128" s="9">
        <v>6.1764246870233546</v>
      </c>
      <c r="BD128" s="63" t="s">
        <v>104</v>
      </c>
      <c r="BE128" s="63" t="s">
        <v>124</v>
      </c>
      <c r="BF128" s="9">
        <v>6.0306199934895242</v>
      </c>
      <c r="BG128" s="64" t="s">
        <v>127</v>
      </c>
      <c r="BH128" s="54" t="s">
        <v>124</v>
      </c>
      <c r="BI128" s="9">
        <v>5.5272336072849999</v>
      </c>
      <c r="BJ128" s="54" t="s">
        <v>104</v>
      </c>
      <c r="BK128" s="76" t="s">
        <v>160</v>
      </c>
      <c r="BL128" s="9">
        <v>5.5061618535200001</v>
      </c>
      <c r="BM128" s="69" t="s">
        <v>10</v>
      </c>
      <c r="BN128" s="76" t="s">
        <v>160</v>
      </c>
      <c r="BO128" s="9">
        <v>5.4239412688062121</v>
      </c>
    </row>
    <row r="129" spans="1:67" x14ac:dyDescent="0.45">
      <c r="A129" s="10">
        <v>110</v>
      </c>
      <c r="B129" s="10" t="s">
        <v>183</v>
      </c>
      <c r="C129" s="63" t="s">
        <v>1971</v>
      </c>
      <c r="D129" s="65"/>
      <c r="E129" s="80" t="s">
        <v>2175</v>
      </c>
      <c r="F129" s="58" t="s">
        <v>2210</v>
      </c>
      <c r="G129" s="242"/>
      <c r="H129" s="10"/>
      <c r="I129" s="62">
        <v>149.36670189</v>
      </c>
      <c r="J129" s="62">
        <v>167.54360212</v>
      </c>
      <c r="K129" s="62">
        <v>140.67340178000001</v>
      </c>
      <c r="L129" s="49">
        <v>2293.1037822769626</v>
      </c>
      <c r="M129" s="49">
        <v>2314.1726316858581</v>
      </c>
      <c r="N129" s="49">
        <v>2331.1670028541935</v>
      </c>
      <c r="O129" s="61">
        <v>20.186765114295756</v>
      </c>
      <c r="P129" s="60"/>
      <c r="Q129" s="54" t="s">
        <v>104</v>
      </c>
      <c r="R129" s="9">
        <v>9.0658019020600005</v>
      </c>
      <c r="S129" s="54" t="s">
        <v>104</v>
      </c>
      <c r="T129" s="9">
        <v>11.332252377574999</v>
      </c>
      <c r="U129" s="69" t="s">
        <v>10</v>
      </c>
      <c r="V129" s="9">
        <v>12.727</v>
      </c>
      <c r="W129" s="77" t="s">
        <v>73</v>
      </c>
      <c r="X129" s="9">
        <v>75.683350945000001</v>
      </c>
      <c r="Y129" s="63" t="s">
        <v>124</v>
      </c>
      <c r="Z129" s="9">
        <v>31.606963872695655</v>
      </c>
      <c r="AA129" s="54" t="s">
        <v>104</v>
      </c>
      <c r="AB129" s="54" t="s">
        <v>124</v>
      </c>
      <c r="AC129" s="9">
        <v>17.720175177407537</v>
      </c>
      <c r="AD129" s="63" t="s">
        <v>104</v>
      </c>
      <c r="AE129" s="77" t="s">
        <v>73</v>
      </c>
      <c r="AF129" s="9">
        <v>16.543076604109377</v>
      </c>
      <c r="AG129" s="69" t="s">
        <v>10</v>
      </c>
      <c r="AH129" s="54" t="s">
        <v>124</v>
      </c>
      <c r="AI129" s="9">
        <v>16.527075589745415</v>
      </c>
      <c r="AJ129" s="15" t="s">
        <v>127</v>
      </c>
      <c r="AK129" s="63" t="s">
        <v>124</v>
      </c>
      <c r="AL129" s="9">
        <v>16.443519504068494</v>
      </c>
      <c r="AM129" s="54" t="s">
        <v>104</v>
      </c>
      <c r="AN129" s="51" t="s">
        <v>182</v>
      </c>
      <c r="AO129" s="9">
        <v>15.654392352516668</v>
      </c>
      <c r="AP129" s="60"/>
      <c r="AQ129" s="54" t="s">
        <v>104</v>
      </c>
      <c r="AR129" s="9">
        <v>7.9903616484520006</v>
      </c>
      <c r="AS129" s="54" t="s">
        <v>104</v>
      </c>
      <c r="AT129" s="9">
        <v>3.9951808242260003</v>
      </c>
      <c r="AU129" s="289" t="s">
        <v>10</v>
      </c>
      <c r="AV129" s="9">
        <v>3.6666666666666998</v>
      </c>
      <c r="AW129" s="68" t="s">
        <v>73</v>
      </c>
      <c r="AX129" s="9">
        <v>98.088356228500004</v>
      </c>
      <c r="AY129" s="63" t="s">
        <v>124</v>
      </c>
      <c r="AZ129" s="9">
        <v>1.8840964395872002</v>
      </c>
      <c r="BA129" s="289" t="s">
        <v>10</v>
      </c>
      <c r="BB129" s="63" t="s">
        <v>124</v>
      </c>
      <c r="BC129" s="9">
        <v>8.5560131084376394</v>
      </c>
      <c r="BD129" s="63" t="s">
        <v>104</v>
      </c>
      <c r="BE129" s="63" t="s">
        <v>124</v>
      </c>
      <c r="BF129" s="9">
        <v>8.2908780220895242</v>
      </c>
      <c r="BG129" s="289" t="s">
        <v>10</v>
      </c>
      <c r="BH129" s="68" t="s">
        <v>73</v>
      </c>
      <c r="BI129" s="9">
        <v>8.263428943565625</v>
      </c>
      <c r="BJ129" s="54" t="s">
        <v>104</v>
      </c>
      <c r="BK129" s="77" t="s">
        <v>73</v>
      </c>
      <c r="BL129" s="9">
        <v>8.0861884504987831</v>
      </c>
      <c r="BM129" s="54" t="s">
        <v>104</v>
      </c>
      <c r="BN129" s="290" t="s">
        <v>182</v>
      </c>
      <c r="BO129" s="9">
        <v>7.6640651625487832</v>
      </c>
    </row>
    <row r="130" spans="1:67" x14ac:dyDescent="0.45">
      <c r="A130" s="10">
        <v>110</v>
      </c>
      <c r="B130" s="10" t="s">
        <v>1267</v>
      </c>
      <c r="C130" s="63" t="s">
        <v>2132</v>
      </c>
      <c r="D130" s="65"/>
      <c r="E130" s="80" t="s">
        <v>2262</v>
      </c>
      <c r="F130" s="79" t="s">
        <v>2263</v>
      </c>
      <c r="G130" s="58" t="s">
        <v>2264</v>
      </c>
      <c r="H130" s="10"/>
      <c r="I130" s="62">
        <v>149.36670189</v>
      </c>
      <c r="J130" s="62">
        <v>167.54360212</v>
      </c>
      <c r="K130" s="62">
        <v>140.67340178000001</v>
      </c>
      <c r="L130" s="49">
        <v>2293.1037822769626</v>
      </c>
      <c r="M130" s="49">
        <v>2314.1726316858581</v>
      </c>
      <c r="N130" s="49">
        <v>2331.1670028541935</v>
      </c>
      <c r="O130" s="61">
        <v>20.186765114295756</v>
      </c>
      <c r="P130" s="60"/>
      <c r="Q130" s="15" t="s">
        <v>127</v>
      </c>
      <c r="R130" s="9">
        <v>4.7341675472500002</v>
      </c>
      <c r="S130" s="15" t="s">
        <v>127</v>
      </c>
      <c r="T130" s="9">
        <v>9.4683350945000004</v>
      </c>
      <c r="U130" s="15" t="s">
        <v>127</v>
      </c>
      <c r="V130" s="9">
        <v>10</v>
      </c>
      <c r="W130" s="75" t="s">
        <v>48</v>
      </c>
      <c r="X130" s="9">
        <v>120.49336151200001</v>
      </c>
      <c r="Y130" s="75" t="s">
        <v>48</v>
      </c>
      <c r="Z130" s="9">
        <v>30.123340378000002</v>
      </c>
      <c r="AA130" s="15" t="s">
        <v>127</v>
      </c>
      <c r="AB130" s="14" t="s">
        <v>84</v>
      </c>
      <c r="AC130" s="9">
        <v>16.32907525229114</v>
      </c>
      <c r="AD130" s="64" t="s">
        <v>127</v>
      </c>
      <c r="AE130" s="75" t="s">
        <v>48</v>
      </c>
      <c r="AF130" s="9">
        <v>15.369765175500001</v>
      </c>
      <c r="AG130" s="15" t="s">
        <v>127</v>
      </c>
      <c r="AH130" s="15" t="s">
        <v>112</v>
      </c>
      <c r="AI130" s="9">
        <v>15.051331692934783</v>
      </c>
      <c r="AJ130" s="15" t="s">
        <v>127</v>
      </c>
      <c r="AK130" s="63" t="s">
        <v>1533</v>
      </c>
      <c r="AL130" s="9">
        <v>14.240084824907974</v>
      </c>
      <c r="AM130" s="15"/>
      <c r="AN130" s="51"/>
      <c r="AO130" s="9"/>
      <c r="AP130" s="60"/>
      <c r="AQ130" s="15" t="s">
        <v>127</v>
      </c>
      <c r="AR130" s="9">
        <v>3.9126506868550002</v>
      </c>
      <c r="AS130" s="15" t="s">
        <v>127</v>
      </c>
      <c r="AT130" s="9">
        <v>3.9126506868550002</v>
      </c>
      <c r="AU130" s="64" t="s">
        <v>127</v>
      </c>
      <c r="AV130" s="9">
        <v>2</v>
      </c>
      <c r="AW130" s="15" t="s">
        <v>112</v>
      </c>
      <c r="AX130" s="9">
        <v>146.63253434275001</v>
      </c>
      <c r="AY130" s="75" t="s">
        <v>48</v>
      </c>
      <c r="AZ130" s="9">
        <v>2.3129975108554546</v>
      </c>
      <c r="BA130" s="64" t="s">
        <v>127</v>
      </c>
      <c r="BB130" s="75" t="s">
        <v>48</v>
      </c>
      <c r="BC130" s="9">
        <v>8.2390441047565801</v>
      </c>
      <c r="BD130" s="64" t="s">
        <v>127</v>
      </c>
      <c r="BE130" s="64" t="s">
        <v>112</v>
      </c>
      <c r="BF130" s="9">
        <v>7.3936234589500005</v>
      </c>
      <c r="BG130" s="64" t="s">
        <v>127</v>
      </c>
      <c r="BH130" s="14" t="s">
        <v>84</v>
      </c>
      <c r="BI130" s="9">
        <v>7.2011272687880652</v>
      </c>
      <c r="BJ130" s="15" t="s">
        <v>127</v>
      </c>
      <c r="BK130" s="63" t="s">
        <v>1533</v>
      </c>
      <c r="BL130" s="9">
        <v>6.5479060702000007</v>
      </c>
      <c r="BM130" s="15"/>
      <c r="BN130" s="78"/>
      <c r="BO130" s="9"/>
    </row>
    <row r="131" spans="1:67" x14ac:dyDescent="0.45">
      <c r="A131" s="10">
        <v>111</v>
      </c>
      <c r="B131" s="10" t="s">
        <v>1263</v>
      </c>
      <c r="C131" s="80" t="s">
        <v>2122</v>
      </c>
      <c r="D131" s="288" t="s">
        <v>2161</v>
      </c>
      <c r="E131" s="58" t="s">
        <v>2242</v>
      </c>
      <c r="F131" s="64" t="s">
        <v>2243</v>
      </c>
      <c r="G131" s="63" t="s">
        <v>2220</v>
      </c>
      <c r="H131" s="10"/>
      <c r="I131" s="62">
        <v>122.49650155</v>
      </c>
      <c r="J131" s="62">
        <v>112.22260142</v>
      </c>
      <c r="K131" s="62">
        <v>162.01150205000002</v>
      </c>
      <c r="L131" s="49">
        <v>1651.7213244640552</v>
      </c>
      <c r="M131" s="49">
        <v>1705.4274302750437</v>
      </c>
      <c r="N131" s="49">
        <v>1749.6469276434138</v>
      </c>
      <c r="O131" s="61">
        <v>16.346864554631527</v>
      </c>
      <c r="P131" s="60"/>
      <c r="Q131" s="71" t="s">
        <v>80</v>
      </c>
      <c r="R131" s="9">
        <v>14.229622167400001</v>
      </c>
      <c r="S131" s="71" t="s">
        <v>80</v>
      </c>
      <c r="T131" s="9">
        <v>10.164015833857144</v>
      </c>
      <c r="U131" s="71" t="s">
        <v>80</v>
      </c>
      <c r="V131" s="9">
        <v>8.5709999999999997</v>
      </c>
      <c r="W131" s="80" t="s">
        <v>1504</v>
      </c>
      <c r="X131" s="9">
        <v>59.798320744000002</v>
      </c>
      <c r="Y131" s="64" t="s">
        <v>1508</v>
      </c>
      <c r="Z131" s="9">
        <v>20.403845838970593</v>
      </c>
      <c r="AA131" s="71" t="s">
        <v>80</v>
      </c>
      <c r="AB131" s="71" t="s">
        <v>1504</v>
      </c>
      <c r="AC131" s="9">
        <v>12.759472833017858</v>
      </c>
      <c r="AD131" s="80" t="s">
        <v>80</v>
      </c>
      <c r="AE131" s="64" t="s">
        <v>1508</v>
      </c>
      <c r="AF131" s="9">
        <v>12.474773932356197</v>
      </c>
      <c r="AG131" s="71" t="s">
        <v>80</v>
      </c>
      <c r="AH131" s="15" t="s">
        <v>1537</v>
      </c>
      <c r="AI131" s="9">
        <v>11.330769738141338</v>
      </c>
      <c r="AJ131" s="55" t="s">
        <v>53</v>
      </c>
      <c r="AK131" s="80" t="s">
        <v>1504</v>
      </c>
      <c r="AL131" s="9">
        <v>11.073450882525</v>
      </c>
      <c r="AM131" s="55" t="s">
        <v>53</v>
      </c>
      <c r="AN131" s="15" t="s">
        <v>1508</v>
      </c>
      <c r="AO131" s="9">
        <v>10.441795854573172</v>
      </c>
      <c r="AP131" s="60"/>
      <c r="AQ131" s="71" t="s">
        <v>80</v>
      </c>
      <c r="AR131" s="9">
        <v>11.510199832990001</v>
      </c>
      <c r="AS131" s="71" t="s">
        <v>80</v>
      </c>
      <c r="AT131" s="9">
        <v>3.8367332776633334</v>
      </c>
      <c r="AU131" s="80" t="s">
        <v>80</v>
      </c>
      <c r="AV131" s="9">
        <v>2.6666666666666998</v>
      </c>
      <c r="AW131" s="71" t="s">
        <v>1504</v>
      </c>
      <c r="AX131" s="9">
        <v>77.437816967200007</v>
      </c>
      <c r="AY131" s="80" t="s">
        <v>1504</v>
      </c>
      <c r="AZ131" s="9">
        <v>1.2906302827866667</v>
      </c>
      <c r="BA131" s="80" t="s">
        <v>80</v>
      </c>
      <c r="BB131" s="80" t="s">
        <v>1504</v>
      </c>
      <c r="BC131" s="9">
        <v>6.9686942857287244</v>
      </c>
      <c r="BD131" s="80" t="s">
        <v>80</v>
      </c>
      <c r="BE131" s="64" t="s">
        <v>1508</v>
      </c>
      <c r="BF131" s="9">
        <v>6.3964686543171876</v>
      </c>
      <c r="BG131" s="80" t="s">
        <v>80</v>
      </c>
      <c r="BH131" s="15" t="s">
        <v>1537</v>
      </c>
      <c r="BI131" s="9">
        <v>5.8907054635278762</v>
      </c>
      <c r="BJ131" s="55" t="s">
        <v>53</v>
      </c>
      <c r="BK131" s="80" t="s">
        <v>1504</v>
      </c>
      <c r="BL131" s="9">
        <v>5.5188633112882357</v>
      </c>
      <c r="BM131" s="55" t="s">
        <v>53</v>
      </c>
      <c r="BN131" s="64" t="s">
        <v>1508</v>
      </c>
      <c r="BO131" s="9">
        <v>5.0408606988651581</v>
      </c>
    </row>
    <row r="132" spans="1:67" x14ac:dyDescent="0.45">
      <c r="A132" s="10">
        <v>112</v>
      </c>
      <c r="B132" s="10" t="s">
        <v>297</v>
      </c>
      <c r="C132" s="80" t="s">
        <v>2122</v>
      </c>
      <c r="D132" s="288" t="s">
        <v>2161</v>
      </c>
      <c r="E132" s="58" t="s">
        <v>2242</v>
      </c>
      <c r="F132" s="64" t="s">
        <v>2243</v>
      </c>
      <c r="G132" s="63" t="s">
        <v>2220</v>
      </c>
      <c r="H132" s="10"/>
      <c r="I132" s="62">
        <v>187.30110237000002</v>
      </c>
      <c r="J132" s="62">
        <v>146.99580186</v>
      </c>
      <c r="K132" s="62">
        <v>195.99440248000002</v>
      </c>
      <c r="L132" s="49">
        <v>3179.1764550815851</v>
      </c>
      <c r="M132" s="49">
        <v>3076.5167852207387</v>
      </c>
      <c r="N132" s="49">
        <v>2996.7810466100191</v>
      </c>
      <c r="O132" s="61">
        <v>25.118099217015015</v>
      </c>
      <c r="P132" s="60"/>
      <c r="Q132" s="71" t="s">
        <v>80</v>
      </c>
      <c r="R132" s="9">
        <v>21.228519055960003</v>
      </c>
      <c r="S132" s="71" t="s">
        <v>80</v>
      </c>
      <c r="T132" s="9">
        <v>15.16322789711429</v>
      </c>
      <c r="U132" s="71" t="s">
        <v>80</v>
      </c>
      <c r="V132" s="9">
        <v>8.5709999999999997</v>
      </c>
      <c r="W132" s="80" t="s">
        <v>79</v>
      </c>
      <c r="X132" s="9">
        <v>158.33292599080002</v>
      </c>
      <c r="Y132" s="56" t="s">
        <v>87</v>
      </c>
      <c r="Z132" s="9">
        <v>49.295939748695666</v>
      </c>
      <c r="AA132" s="71" t="s">
        <v>80</v>
      </c>
      <c r="AB132" s="71" t="s">
        <v>79</v>
      </c>
      <c r="AC132" s="9">
        <v>21.567259104595067</v>
      </c>
      <c r="AD132" s="80" t="s">
        <v>80</v>
      </c>
      <c r="AE132" s="56" t="s">
        <v>87</v>
      </c>
      <c r="AF132" s="9">
        <v>20.432035766821478</v>
      </c>
      <c r="AG132" s="71" t="s">
        <v>80</v>
      </c>
      <c r="AH132" s="73" t="s">
        <v>218</v>
      </c>
      <c r="AI132" s="9">
        <v>19.954648805763277</v>
      </c>
      <c r="AJ132" s="71" t="s">
        <v>80</v>
      </c>
      <c r="AK132" s="289" t="s">
        <v>97</v>
      </c>
      <c r="AL132" s="9">
        <v>18.671768079063515</v>
      </c>
      <c r="AM132" s="55" t="s">
        <v>53</v>
      </c>
      <c r="AN132" s="71" t="s">
        <v>79</v>
      </c>
      <c r="AO132" s="9">
        <v>18.602936913753013</v>
      </c>
      <c r="AP132" s="60"/>
      <c r="AQ132" s="71" t="s">
        <v>80</v>
      </c>
      <c r="AR132" s="9">
        <v>17.070434583346003</v>
      </c>
      <c r="AS132" s="71" t="s">
        <v>80</v>
      </c>
      <c r="AT132" s="9">
        <v>5.6901448611153347</v>
      </c>
      <c r="AU132" s="80" t="s">
        <v>80</v>
      </c>
      <c r="AV132" s="9">
        <v>2.6666666666666998</v>
      </c>
      <c r="AW132" s="71" t="s">
        <v>79</v>
      </c>
      <c r="AX132" s="9">
        <v>176.31383181832004</v>
      </c>
      <c r="AY132" s="80" t="s">
        <v>79</v>
      </c>
      <c r="AZ132" s="9">
        <v>2.7125204895126158</v>
      </c>
      <c r="BA132" s="80" t="s">
        <v>80</v>
      </c>
      <c r="BB132" s="80" t="s">
        <v>79</v>
      </c>
      <c r="BC132" s="9">
        <v>12.414231046620939</v>
      </c>
      <c r="BD132" s="80" t="s">
        <v>80</v>
      </c>
      <c r="BE132" s="56" t="s">
        <v>87</v>
      </c>
      <c r="BF132" s="9">
        <v>12.229091218918093</v>
      </c>
      <c r="BG132" s="80" t="s">
        <v>80</v>
      </c>
      <c r="BH132" s="69" t="s">
        <v>97</v>
      </c>
      <c r="BI132" s="9">
        <v>10.540133301593238</v>
      </c>
      <c r="BJ132" s="71" t="s">
        <v>80</v>
      </c>
      <c r="BK132" s="288" t="s">
        <v>218</v>
      </c>
      <c r="BL132" s="9">
        <v>10.342930541753439</v>
      </c>
      <c r="BM132" s="55" t="s">
        <v>53</v>
      </c>
      <c r="BN132" s="80" t="s">
        <v>79</v>
      </c>
      <c r="BO132" s="9">
        <v>9.9574716063869566</v>
      </c>
    </row>
    <row r="133" spans="1:67" x14ac:dyDescent="0.45">
      <c r="A133" s="10">
        <v>113</v>
      </c>
      <c r="B133" s="10" t="s">
        <v>1259</v>
      </c>
      <c r="C133" s="64" t="s">
        <v>1889</v>
      </c>
      <c r="D133" s="65"/>
      <c r="E133" s="58" t="s">
        <v>1903</v>
      </c>
      <c r="F133" s="77"/>
      <c r="G133" s="77" t="s">
        <v>1888</v>
      </c>
      <c r="H133" s="10"/>
      <c r="I133" s="62">
        <v>59.272500750000006</v>
      </c>
      <c r="J133" s="62">
        <v>113.01290143000001</v>
      </c>
      <c r="K133" s="62">
        <v>396.73060502000004</v>
      </c>
      <c r="L133" s="49">
        <v>1255.0618124265416</v>
      </c>
      <c r="M133" s="49">
        <v>1918.6009427590257</v>
      </c>
      <c r="N133" s="49">
        <v>2694.2648417730811</v>
      </c>
      <c r="O133" s="61">
        <v>40.283159972166196</v>
      </c>
      <c r="P133" s="60"/>
      <c r="Q133" s="57" t="s">
        <v>95</v>
      </c>
      <c r="R133" s="9">
        <v>4.5563500450000003</v>
      </c>
      <c r="S133" s="15" t="s">
        <v>288</v>
      </c>
      <c r="T133" s="9">
        <v>5.8157417191666676</v>
      </c>
      <c r="U133" s="15" t="s">
        <v>288</v>
      </c>
      <c r="V133" s="9">
        <v>10</v>
      </c>
      <c r="W133" s="64" t="s">
        <v>112</v>
      </c>
      <c r="X133" s="9">
        <v>54.345250675000003</v>
      </c>
      <c r="Y133" s="64" t="s">
        <v>112</v>
      </c>
      <c r="Z133" s="9">
        <v>14.301381756578948</v>
      </c>
      <c r="AA133" s="15" t="s">
        <v>288</v>
      </c>
      <c r="AB133" s="15" t="s">
        <v>112</v>
      </c>
      <c r="AC133" s="9">
        <v>8.1189868721785725</v>
      </c>
      <c r="AD133" s="64" t="s">
        <v>288</v>
      </c>
      <c r="AE133" s="242" t="s">
        <v>82</v>
      </c>
      <c r="AF133" s="9">
        <v>7.2758120427350441</v>
      </c>
      <c r="AG133" s="15" t="s">
        <v>288</v>
      </c>
      <c r="AH133" s="14" t="s">
        <v>63</v>
      </c>
      <c r="AI133" s="9">
        <v>7.0252892906862758</v>
      </c>
      <c r="AJ133" s="57" t="s">
        <v>95</v>
      </c>
      <c r="AK133" s="64" t="s">
        <v>112</v>
      </c>
      <c r="AL133" s="9">
        <v>6.7505912922297302</v>
      </c>
      <c r="AM133" s="15" t="s">
        <v>288</v>
      </c>
      <c r="AN133" s="57" t="s">
        <v>1516</v>
      </c>
      <c r="AO133" s="9">
        <v>6.1980590071138213</v>
      </c>
      <c r="AP133" s="60"/>
      <c r="AQ133" s="57" t="s">
        <v>95</v>
      </c>
      <c r="AR133" s="9">
        <v>4.0821700390000002</v>
      </c>
      <c r="AS133" s="15" t="s">
        <v>288</v>
      </c>
      <c r="AT133" s="9">
        <v>1.6558137646250002</v>
      </c>
      <c r="AU133" s="242" t="s">
        <v>2454</v>
      </c>
      <c r="AV133" s="9">
        <v>2</v>
      </c>
      <c r="AW133" s="15" t="s">
        <v>112</v>
      </c>
      <c r="AX133" s="9">
        <v>70.348825877500005</v>
      </c>
      <c r="AY133" s="64" t="s">
        <v>112</v>
      </c>
      <c r="AZ133" s="9">
        <v>0.87936032346875004</v>
      </c>
      <c r="BA133" s="64" t="s">
        <v>288</v>
      </c>
      <c r="BB133" s="64" t="s">
        <v>112</v>
      </c>
      <c r="BC133" s="9">
        <v>3.3312530844512196</v>
      </c>
      <c r="BD133" s="242" t="s">
        <v>95</v>
      </c>
      <c r="BE133" s="64" t="s">
        <v>112</v>
      </c>
      <c r="BF133" s="9">
        <v>3.0433599934349593</v>
      </c>
      <c r="BG133" s="64" t="s">
        <v>288</v>
      </c>
      <c r="BH133" s="57" t="s">
        <v>82</v>
      </c>
      <c r="BI133" s="9">
        <v>2.8494488233662283</v>
      </c>
      <c r="BJ133" s="15" t="s">
        <v>288</v>
      </c>
      <c r="BK133" s="65" t="s">
        <v>63</v>
      </c>
      <c r="BL133" s="9">
        <v>2.8148144388368062</v>
      </c>
      <c r="BM133" s="57" t="s">
        <v>95</v>
      </c>
      <c r="BN133" s="242" t="s">
        <v>82</v>
      </c>
      <c r="BO133" s="9">
        <v>2.5647124548391811</v>
      </c>
    </row>
    <row r="134" spans="1:67" x14ac:dyDescent="0.45">
      <c r="A134" s="10">
        <v>114</v>
      </c>
      <c r="B134" s="10" t="s">
        <v>11</v>
      </c>
      <c r="C134" s="79" t="s">
        <v>1983</v>
      </c>
      <c r="D134" s="65"/>
      <c r="E134" s="63" t="s">
        <v>2265</v>
      </c>
      <c r="F134" s="80" t="s">
        <v>2266</v>
      </c>
      <c r="G134" s="242"/>
      <c r="H134" s="10"/>
      <c r="I134" s="62">
        <v>156.47940198000001</v>
      </c>
      <c r="J134" s="62">
        <v>145.41520184000001</v>
      </c>
      <c r="K134" s="62">
        <v>140.67340178000001</v>
      </c>
      <c r="L134" s="49">
        <v>2238.0412031758287</v>
      </c>
      <c r="M134" s="49">
        <v>2171.9641466147227</v>
      </c>
      <c r="N134" s="49">
        <v>2120.5099334088441</v>
      </c>
      <c r="O134" s="61">
        <v>17.859070737403716</v>
      </c>
      <c r="P134" s="60"/>
      <c r="Q134" s="69" t="s">
        <v>10</v>
      </c>
      <c r="R134" s="9">
        <v>8.8239700990000003</v>
      </c>
      <c r="S134" s="72" t="s">
        <v>24</v>
      </c>
      <c r="T134" s="9">
        <v>12.620224805266668</v>
      </c>
      <c r="U134" s="69" t="s">
        <v>10</v>
      </c>
      <c r="V134" s="9">
        <v>12.727</v>
      </c>
      <c r="W134" s="79" t="s">
        <v>9</v>
      </c>
      <c r="X134" s="9">
        <v>169.99775413840001</v>
      </c>
      <c r="Y134" s="79" t="s">
        <v>9</v>
      </c>
      <c r="Z134" s="9">
        <v>34.693419211918368</v>
      </c>
      <c r="AA134" s="72" t="s">
        <v>24</v>
      </c>
      <c r="AB134" s="72" t="s">
        <v>9</v>
      </c>
      <c r="AC134" s="9">
        <v>19.783049480272851</v>
      </c>
      <c r="AD134" s="79" t="s">
        <v>24</v>
      </c>
      <c r="AE134" s="79" t="s">
        <v>23</v>
      </c>
      <c r="AF134" s="9">
        <v>19.552631723096493</v>
      </c>
      <c r="AG134" s="72" t="s">
        <v>24</v>
      </c>
      <c r="AH134" s="72" t="s">
        <v>1485</v>
      </c>
      <c r="AI134" s="9">
        <v>19.552631723096493</v>
      </c>
      <c r="AJ134" s="69" t="s">
        <v>10</v>
      </c>
      <c r="AK134" s="79" t="s">
        <v>23</v>
      </c>
      <c r="AL134" s="9">
        <v>17.923225206989056</v>
      </c>
      <c r="AM134" s="69" t="s">
        <v>10</v>
      </c>
      <c r="AN134" s="72" t="s">
        <v>1485</v>
      </c>
      <c r="AO134" s="9">
        <v>17.923225206989056</v>
      </c>
      <c r="AP134" s="60"/>
      <c r="AQ134" s="72" t="s">
        <v>2462</v>
      </c>
      <c r="AR134" s="9">
        <v>7.1026966772200009</v>
      </c>
      <c r="AS134" s="72" t="s">
        <v>24</v>
      </c>
      <c r="AT134" s="9">
        <v>3.5513483386100004</v>
      </c>
      <c r="AU134" s="79" t="s">
        <v>24</v>
      </c>
      <c r="AV134" s="9">
        <v>4</v>
      </c>
      <c r="AW134" s="72" t="s">
        <v>9</v>
      </c>
      <c r="AX134" s="9">
        <v>184.08090031660001</v>
      </c>
      <c r="AY134" s="79" t="s">
        <v>9</v>
      </c>
      <c r="AZ134" s="9">
        <v>2.3010112539575003</v>
      </c>
      <c r="BA134" s="79" t="s">
        <v>24</v>
      </c>
      <c r="BB134" s="79" t="s">
        <v>9</v>
      </c>
      <c r="BC134" s="9">
        <v>12.147993670895239</v>
      </c>
      <c r="BD134" s="79" t="s">
        <v>24</v>
      </c>
      <c r="BE134" s="79" t="s">
        <v>23</v>
      </c>
      <c r="BF134" s="9">
        <v>11.499288475747038</v>
      </c>
      <c r="BG134" s="79" t="s">
        <v>24</v>
      </c>
      <c r="BH134" s="72" t="s">
        <v>1485</v>
      </c>
      <c r="BI134" s="9">
        <v>11.499288475747038</v>
      </c>
      <c r="BJ134" s="69" t="s">
        <v>10</v>
      </c>
      <c r="BK134" s="79" t="s">
        <v>9</v>
      </c>
      <c r="BL134" s="9">
        <v>10.331098158008766</v>
      </c>
      <c r="BM134" s="69" t="s">
        <v>10</v>
      </c>
      <c r="BN134" s="79" t="s">
        <v>23</v>
      </c>
      <c r="BO134" s="9">
        <v>9.7793091673947821</v>
      </c>
    </row>
    <row r="135" spans="1:67" x14ac:dyDescent="0.45">
      <c r="A135" s="10">
        <v>115</v>
      </c>
      <c r="B135" s="10" t="s">
        <v>123</v>
      </c>
      <c r="C135" s="64" t="s">
        <v>1889</v>
      </c>
      <c r="D135" s="65"/>
      <c r="E135" s="58" t="s">
        <v>1903</v>
      </c>
      <c r="F135" s="77"/>
      <c r="G135" s="77" t="s">
        <v>1888</v>
      </c>
      <c r="H135" s="10"/>
      <c r="I135" s="62">
        <v>154.89880196000001</v>
      </c>
      <c r="J135" s="62">
        <v>142.2540018</v>
      </c>
      <c r="K135" s="62">
        <v>195.99440248000002</v>
      </c>
      <c r="L135" s="49">
        <v>2586.4383982827521</v>
      </c>
      <c r="M135" s="49">
        <v>2651.9834718728416</v>
      </c>
      <c r="N135" s="49">
        <v>2705.6134684086746</v>
      </c>
      <c r="O135" s="61">
        <v>24.408746250172118</v>
      </c>
      <c r="P135" s="60"/>
      <c r="Q135" s="71" t="s">
        <v>80</v>
      </c>
      <c r="R135" s="9">
        <v>14.940892176400002</v>
      </c>
      <c r="S135" s="71" t="s">
        <v>80</v>
      </c>
      <c r="T135" s="9">
        <v>10.672065840285716</v>
      </c>
      <c r="U135" s="55" t="s">
        <v>140</v>
      </c>
      <c r="V135" s="9">
        <v>10</v>
      </c>
      <c r="W135" s="80" t="s">
        <v>79</v>
      </c>
      <c r="X135" s="9">
        <v>109.42916137200001</v>
      </c>
      <c r="Y135" s="64" t="s">
        <v>1508</v>
      </c>
      <c r="Z135" s="9">
        <v>30.656826262823532</v>
      </c>
      <c r="AA135" s="71" t="s">
        <v>80</v>
      </c>
      <c r="AB135" s="66" t="s">
        <v>175</v>
      </c>
      <c r="AC135" s="9">
        <v>15.251512857500003</v>
      </c>
      <c r="AD135" s="80" t="s">
        <v>80</v>
      </c>
      <c r="AE135" s="64" t="s">
        <v>1508</v>
      </c>
      <c r="AF135" s="9">
        <v>15.18190115687611</v>
      </c>
      <c r="AG135" s="71" t="s">
        <v>80</v>
      </c>
      <c r="AH135" s="71" t="s">
        <v>79</v>
      </c>
      <c r="AI135" s="9">
        <v>15.055382158000002</v>
      </c>
      <c r="AJ135" s="55" t="s">
        <v>140</v>
      </c>
      <c r="AK135" s="78" t="s">
        <v>175</v>
      </c>
      <c r="AL135" s="9">
        <v>14.972176955205994</v>
      </c>
      <c r="AM135" s="55" t="s">
        <v>140</v>
      </c>
      <c r="AN135" s="71" t="s">
        <v>79</v>
      </c>
      <c r="AO135" s="9">
        <v>14.886054374753625</v>
      </c>
      <c r="AP135" s="60"/>
      <c r="AQ135" s="71" t="s">
        <v>80</v>
      </c>
      <c r="AR135" s="9">
        <v>12.075264340140002</v>
      </c>
      <c r="AS135" s="71" t="s">
        <v>80</v>
      </c>
      <c r="AT135" s="9">
        <v>4.0250881133800007</v>
      </c>
      <c r="AU135" s="80" t="s">
        <v>80</v>
      </c>
      <c r="AV135" s="9">
        <v>2.6666666666666998</v>
      </c>
      <c r="AW135" s="71" t="s">
        <v>79</v>
      </c>
      <c r="AX135" s="9">
        <v>121.82106552880002</v>
      </c>
      <c r="AY135" s="80" t="s">
        <v>79</v>
      </c>
      <c r="AZ135" s="9">
        <v>1.8741702389046158</v>
      </c>
      <c r="BA135" s="80" t="s">
        <v>80</v>
      </c>
      <c r="BB135" s="80" t="s">
        <v>79</v>
      </c>
      <c r="BC135" s="9">
        <v>8.667294119899017</v>
      </c>
      <c r="BD135" s="80" t="s">
        <v>80</v>
      </c>
      <c r="BE135" s="78" t="s">
        <v>175</v>
      </c>
      <c r="BF135" s="9">
        <v>8.6092394022319159</v>
      </c>
      <c r="BG135" s="80" t="s">
        <v>80</v>
      </c>
      <c r="BH135" s="15" t="s">
        <v>1508</v>
      </c>
      <c r="BI135" s="9">
        <v>7.9892442338462519</v>
      </c>
      <c r="BJ135" s="71" t="s">
        <v>80</v>
      </c>
      <c r="BK135" s="76" t="s">
        <v>91</v>
      </c>
      <c r="BL135" s="9">
        <v>7.7987310100748273</v>
      </c>
      <c r="BM135" s="55" t="s">
        <v>140</v>
      </c>
      <c r="BN135" s="80" t="s">
        <v>79</v>
      </c>
      <c r="BO135" s="9">
        <v>6.9324763181955564</v>
      </c>
    </row>
    <row r="136" spans="1:67" x14ac:dyDescent="0.45">
      <c r="A136" s="10">
        <v>116</v>
      </c>
      <c r="B136" s="10" t="s">
        <v>1255</v>
      </c>
      <c r="C136" s="288" t="s">
        <v>1993</v>
      </c>
      <c r="D136" s="65"/>
      <c r="E136" s="290" t="s">
        <v>2201</v>
      </c>
      <c r="F136" s="59" t="s">
        <v>2202</v>
      </c>
      <c r="G136" s="242"/>
      <c r="H136" s="10"/>
      <c r="I136" s="62">
        <v>113.80320144000001</v>
      </c>
      <c r="J136" s="62">
        <v>93.255401180000007</v>
      </c>
      <c r="K136" s="62">
        <v>92.465101170000011</v>
      </c>
      <c r="L136" s="49">
        <v>1056.7698190366898</v>
      </c>
      <c r="M136" s="49">
        <v>987.50101108997228</v>
      </c>
      <c r="N136" s="49">
        <v>935.36963434052871</v>
      </c>
      <c r="O136" s="61">
        <v>7.8873336417552435</v>
      </c>
      <c r="P136" s="60"/>
      <c r="Q136" s="73" t="s">
        <v>214</v>
      </c>
      <c r="R136" s="9">
        <v>9.193830503680001</v>
      </c>
      <c r="S136" s="73" t="s">
        <v>121</v>
      </c>
      <c r="T136" s="9">
        <v>8.8281920863999996</v>
      </c>
      <c r="U136" s="73" t="s">
        <v>214</v>
      </c>
      <c r="V136" s="9">
        <v>11.667</v>
      </c>
      <c r="W136" s="59" t="s">
        <v>180</v>
      </c>
      <c r="X136" s="9">
        <v>57.901600720000005</v>
      </c>
      <c r="Y136" s="59" t="s">
        <v>180</v>
      </c>
      <c r="Z136" s="9">
        <v>21.445037303703703</v>
      </c>
      <c r="AA136" s="73" t="s">
        <v>121</v>
      </c>
      <c r="AB136" s="73" t="s">
        <v>1524</v>
      </c>
      <c r="AC136" s="9">
        <v>11.68551044779618</v>
      </c>
      <c r="AD136" s="288" t="s">
        <v>121</v>
      </c>
      <c r="AE136" s="59" t="s">
        <v>180</v>
      </c>
      <c r="AF136" s="9">
        <v>11.510513510551181</v>
      </c>
      <c r="AG136" s="73" t="s">
        <v>214</v>
      </c>
      <c r="AH136" s="73" t="s">
        <v>1524</v>
      </c>
      <c r="AI136" s="9">
        <v>11.27082760108909</v>
      </c>
      <c r="AJ136" s="73" t="s">
        <v>121</v>
      </c>
      <c r="AK136" s="78" t="s">
        <v>253</v>
      </c>
      <c r="AL136" s="9">
        <v>11.203767567441862</v>
      </c>
      <c r="AM136" s="73" t="s">
        <v>214</v>
      </c>
      <c r="AN136" s="66" t="s">
        <v>253</v>
      </c>
      <c r="AO136" s="9">
        <v>10.784888534927537</v>
      </c>
      <c r="AP136" s="60"/>
      <c r="AQ136" s="73" t="s">
        <v>214</v>
      </c>
      <c r="AR136" s="9">
        <v>8.1013197698560013</v>
      </c>
      <c r="AS136" s="73" t="s">
        <v>121</v>
      </c>
      <c r="AT136" s="9">
        <v>3.6629949136960005</v>
      </c>
      <c r="AU136" s="288" t="s">
        <v>214</v>
      </c>
      <c r="AV136" s="9">
        <v>3.6666666666666998</v>
      </c>
      <c r="AW136" s="53" t="s">
        <v>180</v>
      </c>
      <c r="AX136" s="9">
        <v>82.369289029600012</v>
      </c>
      <c r="AY136" s="59" t="s">
        <v>180</v>
      </c>
      <c r="AZ136" s="9">
        <v>1.2672198312246155</v>
      </c>
      <c r="BA136" s="288" t="s">
        <v>121</v>
      </c>
      <c r="BB136" s="59" t="s">
        <v>180</v>
      </c>
      <c r="BC136" s="9">
        <v>7.1353314188094128</v>
      </c>
      <c r="BD136" s="288" t="s">
        <v>214</v>
      </c>
      <c r="BE136" s="59" t="s">
        <v>180</v>
      </c>
      <c r="BF136" s="9">
        <v>6.9546017687681561</v>
      </c>
      <c r="BG136" s="288" t="s">
        <v>121</v>
      </c>
      <c r="BH136" s="66" t="s">
        <v>253</v>
      </c>
      <c r="BI136" s="9">
        <v>6.7064176722057152</v>
      </c>
      <c r="BJ136" s="73" t="s">
        <v>214</v>
      </c>
      <c r="BK136" s="78" t="s">
        <v>253</v>
      </c>
      <c r="BL136" s="9">
        <v>6.4366638086793726</v>
      </c>
      <c r="BM136" s="73" t="s">
        <v>121</v>
      </c>
      <c r="BN136" s="288" t="s">
        <v>1524</v>
      </c>
      <c r="BO136" s="9">
        <v>5.0254574276800001</v>
      </c>
    </row>
    <row r="137" spans="1:67" x14ac:dyDescent="0.45">
      <c r="A137" s="10">
        <v>117</v>
      </c>
      <c r="B137" s="10" t="s">
        <v>1252</v>
      </c>
      <c r="C137" s="288" t="s">
        <v>1993</v>
      </c>
      <c r="D137" s="65"/>
      <c r="E137" s="290" t="s">
        <v>2201</v>
      </c>
      <c r="F137" s="59" t="s">
        <v>2202</v>
      </c>
      <c r="G137" s="242"/>
      <c r="H137" s="10"/>
      <c r="I137" s="62">
        <v>159.64060202000002</v>
      </c>
      <c r="J137" s="62">
        <v>135.14130171000002</v>
      </c>
      <c r="K137" s="62">
        <v>127.23830161000001</v>
      </c>
      <c r="L137" s="49">
        <v>2093.3716461239296</v>
      </c>
      <c r="M137" s="49">
        <v>1960.4971356401318</v>
      </c>
      <c r="N137" s="49">
        <v>1860.2962550275588</v>
      </c>
      <c r="O137" s="61">
        <v>15.14802578413971</v>
      </c>
      <c r="P137" s="60"/>
      <c r="Q137" s="73" t="s">
        <v>3426</v>
      </c>
      <c r="R137" s="9">
        <v>5.7892180606000005</v>
      </c>
      <c r="S137" s="73" t="s">
        <v>3426</v>
      </c>
      <c r="T137" s="9">
        <v>11.578436121200001</v>
      </c>
      <c r="U137" s="73" t="s">
        <v>121</v>
      </c>
      <c r="V137" s="9">
        <v>10</v>
      </c>
      <c r="W137" s="288" t="s">
        <v>197</v>
      </c>
      <c r="X137" s="9">
        <v>125.51966957560001</v>
      </c>
      <c r="Y137" s="288" t="s">
        <v>197</v>
      </c>
      <c r="Z137" s="9">
        <v>38.036263507757582</v>
      </c>
      <c r="AA137" s="73" t="s">
        <v>121</v>
      </c>
      <c r="AB137" s="73" t="s">
        <v>197</v>
      </c>
      <c r="AC137" s="9">
        <v>18.143160209593987</v>
      </c>
      <c r="AD137" s="78" t="s">
        <v>254</v>
      </c>
      <c r="AE137" s="288" t="s">
        <v>197</v>
      </c>
      <c r="AF137" s="9">
        <v>17.104438043708861</v>
      </c>
      <c r="AG137" s="73" t="s">
        <v>121</v>
      </c>
      <c r="AH137" s="74" t="s">
        <v>132</v>
      </c>
      <c r="AI137" s="9">
        <v>16.835935307251912</v>
      </c>
      <c r="AJ137" s="66" t="s">
        <v>254</v>
      </c>
      <c r="AK137" s="291" t="s">
        <v>132</v>
      </c>
      <c r="AL137" s="9">
        <v>15.993387360769233</v>
      </c>
      <c r="AM137" s="73" t="s">
        <v>121</v>
      </c>
      <c r="AN137" s="66" t="s">
        <v>253</v>
      </c>
      <c r="AO137" s="9">
        <v>15.20121529244186</v>
      </c>
      <c r="AP137" s="60"/>
      <c r="AQ137" s="66" t="s">
        <v>254</v>
      </c>
      <c r="AR137" s="9">
        <v>5.1506556525200002</v>
      </c>
      <c r="AS137" s="66" t="s">
        <v>254</v>
      </c>
      <c r="AT137" s="9">
        <v>5.1506556525200002</v>
      </c>
      <c r="AU137" s="288" t="s">
        <v>2463</v>
      </c>
      <c r="AV137" s="9">
        <v>3</v>
      </c>
      <c r="AW137" s="73" t="s">
        <v>197</v>
      </c>
      <c r="AX137" s="9">
        <v>162.87557044828003</v>
      </c>
      <c r="AY137" s="288" t="s">
        <v>197</v>
      </c>
      <c r="AZ137" s="9">
        <v>2.1716742726437337</v>
      </c>
      <c r="BA137" s="78" t="s">
        <v>254</v>
      </c>
      <c r="BB137" s="288" t="s">
        <v>197</v>
      </c>
      <c r="BC137" s="9">
        <v>11.216998529280001</v>
      </c>
      <c r="BD137" s="288" t="s">
        <v>121</v>
      </c>
      <c r="BE137" s="288" t="s">
        <v>197</v>
      </c>
      <c r="BF137" s="9">
        <v>10.81789702423</v>
      </c>
      <c r="BG137" s="78" t="s">
        <v>254</v>
      </c>
      <c r="BH137" s="74" t="s">
        <v>132</v>
      </c>
      <c r="BI137" s="9">
        <v>10.179334616149999</v>
      </c>
      <c r="BJ137" s="73" t="s">
        <v>121</v>
      </c>
      <c r="BK137" s="291" t="s">
        <v>132</v>
      </c>
      <c r="BL137" s="9">
        <v>9.7802331111000012</v>
      </c>
      <c r="BM137" s="66" t="s">
        <v>254</v>
      </c>
      <c r="BN137" s="78" t="s">
        <v>253</v>
      </c>
      <c r="BO137" s="9">
        <v>9.400136439623811</v>
      </c>
    </row>
    <row r="138" spans="1:67" x14ac:dyDescent="0.45">
      <c r="A138" s="10">
        <v>118</v>
      </c>
      <c r="B138" s="10" t="s">
        <v>1249</v>
      </c>
      <c r="C138" s="288" t="s">
        <v>1993</v>
      </c>
      <c r="D138" s="65"/>
      <c r="E138" s="290" t="s">
        <v>2201</v>
      </c>
      <c r="F138" s="59" t="s">
        <v>2202</v>
      </c>
      <c r="G138" s="242"/>
      <c r="H138" s="10"/>
      <c r="I138" s="62">
        <v>109.06140138000001</v>
      </c>
      <c r="J138" s="62">
        <v>98.787501250000005</v>
      </c>
      <c r="K138" s="62">
        <v>113.01290143000001</v>
      </c>
      <c r="L138" s="49">
        <v>1152.3544586261567</v>
      </c>
      <c r="M138" s="49">
        <v>1140.2517115068615</v>
      </c>
      <c r="N138" s="49">
        <v>1130.6610977392731</v>
      </c>
      <c r="O138" s="61">
        <v>10.160528881682392</v>
      </c>
      <c r="P138" s="60"/>
      <c r="Q138" s="16" t="s">
        <v>1515</v>
      </c>
      <c r="R138" s="9">
        <v>6.4530700690000007</v>
      </c>
      <c r="S138" s="16" t="s">
        <v>1515</v>
      </c>
      <c r="T138" s="9">
        <v>6.4530700690000007</v>
      </c>
      <c r="U138" s="71" t="s">
        <v>144</v>
      </c>
      <c r="V138" s="9">
        <v>11.667</v>
      </c>
      <c r="W138" s="288" t="s">
        <v>238</v>
      </c>
      <c r="X138" s="9">
        <v>46.805788579599998</v>
      </c>
      <c r="Y138" s="288" t="s">
        <v>306</v>
      </c>
      <c r="Z138" s="9">
        <v>17.746537060000001</v>
      </c>
      <c r="AA138" s="71" t="s">
        <v>144</v>
      </c>
      <c r="AB138" s="73" t="s">
        <v>306</v>
      </c>
      <c r="AC138" s="9">
        <v>10.818221542982982</v>
      </c>
      <c r="AD138" s="287" t="s">
        <v>1515</v>
      </c>
      <c r="AE138" s="288" t="s">
        <v>306</v>
      </c>
      <c r="AF138" s="9">
        <v>10.553245982929937</v>
      </c>
      <c r="AG138" s="71" t="s">
        <v>144</v>
      </c>
      <c r="AH138" s="73" t="s">
        <v>238</v>
      </c>
      <c r="AI138" s="9">
        <v>9.8085357210343513</v>
      </c>
      <c r="AJ138" s="16" t="s">
        <v>1515</v>
      </c>
      <c r="AK138" s="288" t="s">
        <v>238</v>
      </c>
      <c r="AL138" s="9">
        <v>9.6428218200731717</v>
      </c>
      <c r="AM138" s="71" t="s">
        <v>144</v>
      </c>
      <c r="AN138" s="15" t="s">
        <v>1537</v>
      </c>
      <c r="AO138" s="9">
        <v>8.6162001946990383</v>
      </c>
      <c r="AP138" s="60"/>
      <c r="AQ138" s="16" t="s">
        <v>1515</v>
      </c>
      <c r="AR138" s="9">
        <v>5.25339465382</v>
      </c>
      <c r="AS138" s="16" t="s">
        <v>1515</v>
      </c>
      <c r="AT138" s="9">
        <v>2.62669732691</v>
      </c>
      <c r="AU138" s="80" t="s">
        <v>144</v>
      </c>
      <c r="AV138" s="9">
        <v>4.5</v>
      </c>
      <c r="AW138" s="73" t="s">
        <v>238</v>
      </c>
      <c r="AX138" s="9">
        <v>60.547525153480002</v>
      </c>
      <c r="AY138" s="288" t="s">
        <v>306</v>
      </c>
      <c r="AZ138" s="9">
        <v>1.2438270439485717</v>
      </c>
      <c r="BA138" s="80" t="s">
        <v>144</v>
      </c>
      <c r="BB138" s="288" t="s">
        <v>306</v>
      </c>
      <c r="BC138" s="9">
        <v>6.344809180831013</v>
      </c>
      <c r="BD138" s="80" t="s">
        <v>144</v>
      </c>
      <c r="BE138" s="288" t="s">
        <v>238</v>
      </c>
      <c r="BF138" s="9">
        <v>5.6785237674102325</v>
      </c>
      <c r="BG138" s="287" t="s">
        <v>1515</v>
      </c>
      <c r="BH138" s="73" t="s">
        <v>306</v>
      </c>
      <c r="BI138" s="9">
        <v>5.3538472743293344</v>
      </c>
      <c r="BJ138" s="16" t="s">
        <v>1515</v>
      </c>
      <c r="BK138" s="288" t="s">
        <v>238</v>
      </c>
      <c r="BL138" s="9">
        <v>4.9435304399728004</v>
      </c>
      <c r="BM138" s="71" t="s">
        <v>144</v>
      </c>
      <c r="BN138" s="64" t="s">
        <v>1537</v>
      </c>
      <c r="BO138" s="9">
        <v>4.7295960211525312</v>
      </c>
    </row>
    <row r="139" spans="1:67" x14ac:dyDescent="0.45">
      <c r="A139" s="10">
        <v>119</v>
      </c>
      <c r="B139" s="10" t="s">
        <v>1246</v>
      </c>
      <c r="C139" s="288" t="s">
        <v>1993</v>
      </c>
      <c r="D139" s="65"/>
      <c r="E139" s="290" t="s">
        <v>2201</v>
      </c>
      <c r="F139" s="59" t="s">
        <v>2202</v>
      </c>
      <c r="G139" s="242"/>
      <c r="H139" s="10"/>
      <c r="I139" s="62">
        <v>150.15700190000001</v>
      </c>
      <c r="J139" s="62">
        <v>128.02860162000002</v>
      </c>
      <c r="K139" s="62">
        <v>162.01150205000002</v>
      </c>
      <c r="L139" s="49">
        <v>2162.5791604322158</v>
      </c>
      <c r="M139" s="49">
        <v>2132.7123928450919</v>
      </c>
      <c r="N139" s="49">
        <v>2109.116240005229</v>
      </c>
      <c r="O139" s="61">
        <v>18.387925646591608</v>
      </c>
      <c r="P139" s="60"/>
      <c r="Q139" s="73" t="s">
        <v>206</v>
      </c>
      <c r="R139" s="9">
        <v>15.415072182400001</v>
      </c>
      <c r="S139" s="73" t="s">
        <v>206</v>
      </c>
      <c r="T139" s="9">
        <v>12.845893485333335</v>
      </c>
      <c r="U139" s="16" t="s">
        <v>1515</v>
      </c>
      <c r="V139" s="9">
        <v>10</v>
      </c>
      <c r="W139" s="289" t="s">
        <v>2389</v>
      </c>
      <c r="X139" s="9">
        <v>68.570650855000011</v>
      </c>
      <c r="Y139" s="289" t="s">
        <v>97</v>
      </c>
      <c r="Z139" s="9">
        <v>31.168477661363639</v>
      </c>
      <c r="AA139" s="73" t="s">
        <v>206</v>
      </c>
      <c r="AB139" s="71" t="s">
        <v>1487</v>
      </c>
      <c r="AC139" s="9">
        <v>15.28223319417476</v>
      </c>
      <c r="AD139" s="288" t="s">
        <v>206</v>
      </c>
      <c r="AE139" s="291" t="s">
        <v>189</v>
      </c>
      <c r="AF139" s="9">
        <v>15.269893703240744</v>
      </c>
      <c r="AG139" s="73" t="s">
        <v>206</v>
      </c>
      <c r="AH139" s="69" t="s">
        <v>97</v>
      </c>
      <c r="AI139" s="9">
        <v>15.110482540797754</v>
      </c>
      <c r="AJ139" s="73" t="s">
        <v>206</v>
      </c>
      <c r="AK139" s="288" t="s">
        <v>238</v>
      </c>
      <c r="AL139" s="9">
        <v>14.991602050280376</v>
      </c>
      <c r="AM139" s="54" t="s">
        <v>171</v>
      </c>
      <c r="AN139" s="74" t="s">
        <v>189</v>
      </c>
      <c r="AO139" s="9">
        <v>14.348447872187007</v>
      </c>
      <c r="AP139" s="60"/>
      <c r="AQ139" s="73" t="s">
        <v>206</v>
      </c>
      <c r="AR139" s="9">
        <v>15.054695377840002</v>
      </c>
      <c r="AS139" s="73" t="s">
        <v>206</v>
      </c>
      <c r="AT139" s="9">
        <v>5.0182317926133342</v>
      </c>
      <c r="AU139" s="63" t="s">
        <v>171</v>
      </c>
      <c r="AV139" s="9">
        <v>3.5</v>
      </c>
      <c r="AW139" s="69" t="s">
        <v>2464</v>
      </c>
      <c r="AX139" s="9">
        <v>88.841846111500004</v>
      </c>
      <c r="AY139" s="289" t="s">
        <v>2465</v>
      </c>
      <c r="AZ139" s="9">
        <v>1.6153062929363637</v>
      </c>
      <c r="BA139" s="288" t="s">
        <v>206</v>
      </c>
      <c r="BB139" s="289" t="s">
        <v>97</v>
      </c>
      <c r="BC139" s="9">
        <v>8.8944682929086714</v>
      </c>
      <c r="BD139" s="288" t="s">
        <v>206</v>
      </c>
      <c r="BE139" s="291" t="s">
        <v>189</v>
      </c>
      <c r="BF139" s="9">
        <v>8.8944682929086714</v>
      </c>
      <c r="BG139" s="63" t="s">
        <v>171</v>
      </c>
      <c r="BH139" s="69" t="s">
        <v>97</v>
      </c>
      <c r="BI139" s="9">
        <v>8.5382879645811975</v>
      </c>
      <c r="BJ139" s="54" t="s">
        <v>171</v>
      </c>
      <c r="BK139" s="291" t="s">
        <v>189</v>
      </c>
      <c r="BL139" s="9">
        <v>8.5382879645811975</v>
      </c>
      <c r="BM139" s="73" t="s">
        <v>206</v>
      </c>
      <c r="BN139" s="80" t="s">
        <v>1487</v>
      </c>
      <c r="BO139" s="9">
        <v>8.4431293276601149</v>
      </c>
    </row>
    <row r="140" spans="1:67" x14ac:dyDescent="0.45">
      <c r="A140" s="10">
        <v>120</v>
      </c>
      <c r="B140" s="10" t="s">
        <v>1243</v>
      </c>
      <c r="C140" s="288" t="s">
        <v>1993</v>
      </c>
      <c r="D140" s="65"/>
      <c r="E140" s="290" t="s">
        <v>2201</v>
      </c>
      <c r="F140" s="59" t="s">
        <v>2202</v>
      </c>
      <c r="G140" s="242"/>
      <c r="H140" s="10"/>
      <c r="I140" s="62">
        <v>120.12560152</v>
      </c>
      <c r="J140" s="62">
        <v>100.36810127000001</v>
      </c>
      <c r="K140" s="62">
        <v>92.465101170000011</v>
      </c>
      <c r="L140" s="49">
        <v>1157.2371156361164</v>
      </c>
      <c r="M140" s="49">
        <v>1075.1591500607958</v>
      </c>
      <c r="N140" s="49">
        <v>1013.7084722618653</v>
      </c>
      <c r="O140" s="61">
        <v>8.4340382345327249</v>
      </c>
      <c r="P140" s="60"/>
      <c r="Q140" s="15" t="s">
        <v>291</v>
      </c>
      <c r="R140" s="9">
        <v>5.8050240608000001</v>
      </c>
      <c r="S140" s="73" t="s">
        <v>121</v>
      </c>
      <c r="T140" s="9">
        <v>9.2075360911999997</v>
      </c>
      <c r="U140" s="15" t="s">
        <v>291</v>
      </c>
      <c r="V140" s="9">
        <v>12.5</v>
      </c>
      <c r="W140" s="56" t="s">
        <v>1520</v>
      </c>
      <c r="X140" s="9">
        <v>49.050240608000003</v>
      </c>
      <c r="Y140" s="288" t="s">
        <v>1524</v>
      </c>
      <c r="Z140" s="9">
        <v>17.596796005473685</v>
      </c>
      <c r="AA140" s="73" t="s">
        <v>121</v>
      </c>
      <c r="AB140" s="73" t="s">
        <v>1524</v>
      </c>
      <c r="AC140" s="9">
        <v>12.253318353070064</v>
      </c>
      <c r="AD140" s="288" t="s">
        <v>121</v>
      </c>
      <c r="AE140" s="56" t="s">
        <v>1520</v>
      </c>
      <c r="AF140" s="9">
        <v>12.036445704303796</v>
      </c>
      <c r="AG140" s="15" t="s">
        <v>291</v>
      </c>
      <c r="AH140" s="73" t="s">
        <v>1524</v>
      </c>
      <c r="AI140" s="9">
        <v>11.558538528408759</v>
      </c>
      <c r="AJ140" s="15" t="s">
        <v>127</v>
      </c>
      <c r="AK140" s="288" t="s">
        <v>1524</v>
      </c>
      <c r="AL140" s="9">
        <v>11.488187133197451</v>
      </c>
      <c r="AM140" s="15" t="s">
        <v>291</v>
      </c>
      <c r="AN140" s="52" t="s">
        <v>1520</v>
      </c>
      <c r="AO140" s="9">
        <v>11.315269697391305</v>
      </c>
      <c r="AP140" s="60"/>
      <c r="AQ140" s="15" t="s">
        <v>291</v>
      </c>
      <c r="AR140" s="9">
        <v>4.9040820494000004</v>
      </c>
      <c r="AS140" s="73" t="s">
        <v>121</v>
      </c>
      <c r="AT140" s="9">
        <v>3.8109390755680002</v>
      </c>
      <c r="AU140" s="64" t="s">
        <v>291</v>
      </c>
      <c r="AV140" s="9">
        <v>3.5</v>
      </c>
      <c r="AW140" s="52" t="s">
        <v>1520</v>
      </c>
      <c r="AX140" s="9">
        <v>63.465312790400006</v>
      </c>
      <c r="AY140" s="56" t="s">
        <v>1520</v>
      </c>
      <c r="AZ140" s="9">
        <v>1.0577552131733334</v>
      </c>
      <c r="BA140" s="288" t="s">
        <v>121</v>
      </c>
      <c r="BB140" s="56" t="s">
        <v>1520</v>
      </c>
      <c r="BC140" s="9">
        <v>6.6516235381790478</v>
      </c>
      <c r="BD140" s="288" t="s">
        <v>121</v>
      </c>
      <c r="BE140" s="64" t="s">
        <v>120</v>
      </c>
      <c r="BF140" s="9">
        <v>6.0887690161144832</v>
      </c>
      <c r="BG140" s="64" t="s">
        <v>291</v>
      </c>
      <c r="BH140" s="52" t="s">
        <v>1520</v>
      </c>
      <c r="BI140" s="9">
        <v>5.8149772637543311</v>
      </c>
      <c r="BJ140" s="15" t="s">
        <v>127</v>
      </c>
      <c r="BK140" s="56" t="s">
        <v>1520</v>
      </c>
      <c r="BL140" s="9">
        <v>5.2818964412774196</v>
      </c>
      <c r="BM140" s="73" t="s">
        <v>121</v>
      </c>
      <c r="BN140" s="288" t="s">
        <v>1524</v>
      </c>
      <c r="BO140" s="9">
        <v>5.2490939514400008</v>
      </c>
    </row>
    <row r="141" spans="1:67" x14ac:dyDescent="0.45">
      <c r="A141" s="10">
        <v>121</v>
      </c>
      <c r="B141" s="10" t="s">
        <v>224</v>
      </c>
      <c r="C141" s="288" t="s">
        <v>2124</v>
      </c>
      <c r="D141" s="65"/>
      <c r="E141" s="289" t="s">
        <v>2246</v>
      </c>
      <c r="F141" s="58" t="s">
        <v>2247</v>
      </c>
      <c r="G141" s="242"/>
      <c r="H141" s="10"/>
      <c r="I141" s="62">
        <v>177.81750225000002</v>
      </c>
      <c r="J141" s="62">
        <v>157.26970199000002</v>
      </c>
      <c r="K141" s="62">
        <v>134.35100170000001</v>
      </c>
      <c r="L141" s="49">
        <v>2584.7437381802929</v>
      </c>
      <c r="M141" s="49">
        <v>2416.7978104221756</v>
      </c>
      <c r="N141" s="49">
        <v>2290.3327348899029</v>
      </c>
      <c r="O141" s="61">
        <v>18.257923769268061</v>
      </c>
      <c r="P141" s="60"/>
      <c r="Q141" s="73" t="s">
        <v>2466</v>
      </c>
      <c r="R141" s="9">
        <v>17.003575202500002</v>
      </c>
      <c r="S141" s="73" t="s">
        <v>121</v>
      </c>
      <c r="T141" s="9">
        <v>12.669050135000001</v>
      </c>
      <c r="U141" s="15" t="s">
        <v>291</v>
      </c>
      <c r="V141" s="9">
        <v>12.5</v>
      </c>
      <c r="W141" s="288" t="s">
        <v>197</v>
      </c>
      <c r="X141" s="9">
        <v>139.69765175500001</v>
      </c>
      <c r="Y141" s="288" t="s">
        <v>197</v>
      </c>
      <c r="Z141" s="9">
        <v>42.332621743939399</v>
      </c>
      <c r="AA141" s="73" t="s">
        <v>121</v>
      </c>
      <c r="AB141" s="57" t="s">
        <v>82</v>
      </c>
      <c r="AC141" s="9">
        <v>20.559833575641029</v>
      </c>
      <c r="AD141" s="64" t="s">
        <v>291</v>
      </c>
      <c r="AE141" s="242" t="s">
        <v>82</v>
      </c>
      <c r="AF141" s="9">
        <v>20.233081127205885</v>
      </c>
      <c r="AG141" s="73" t="s">
        <v>121</v>
      </c>
      <c r="AH141" s="73" t="s">
        <v>197</v>
      </c>
      <c r="AI141" s="9">
        <v>20.029184443984963</v>
      </c>
      <c r="AJ141" s="73" t="s">
        <v>1499</v>
      </c>
      <c r="AK141" s="242" t="s">
        <v>82</v>
      </c>
      <c r="AL141" s="9">
        <v>19.705132720940174</v>
      </c>
      <c r="AM141" s="57" t="s">
        <v>1536</v>
      </c>
      <c r="AN141" s="57" t="s">
        <v>82</v>
      </c>
      <c r="AO141" s="9">
        <v>19.705132720940174</v>
      </c>
      <c r="AP141" s="60"/>
      <c r="AQ141" s="73" t="s">
        <v>2466</v>
      </c>
      <c r="AR141" s="9">
        <v>13.482788657950001</v>
      </c>
      <c r="AS141" s="73" t="s">
        <v>121</v>
      </c>
      <c r="AT141" s="9">
        <v>5.1609295526500008</v>
      </c>
      <c r="AU141" s="64" t="s">
        <v>291</v>
      </c>
      <c r="AV141" s="9">
        <v>3.5</v>
      </c>
      <c r="AW141" s="73" t="s">
        <v>197</v>
      </c>
      <c r="AX141" s="9">
        <v>181.30694728150002</v>
      </c>
      <c r="AY141" s="288" t="s">
        <v>197</v>
      </c>
      <c r="AZ141" s="9">
        <v>2.4174259637533337</v>
      </c>
      <c r="BA141" s="288" t="s">
        <v>121</v>
      </c>
      <c r="BB141" s="288" t="s">
        <v>197</v>
      </c>
      <c r="BC141" s="9">
        <v>11.935776388375</v>
      </c>
      <c r="BD141" s="288" t="s">
        <v>121</v>
      </c>
      <c r="BE141" s="242" t="s">
        <v>82</v>
      </c>
      <c r="BF141" s="9">
        <v>11.402323881625001</v>
      </c>
      <c r="BG141" s="64" t="s">
        <v>291</v>
      </c>
      <c r="BH141" s="73" t="s">
        <v>197</v>
      </c>
      <c r="BI141" s="9">
        <v>11.322157915317677</v>
      </c>
      <c r="BJ141" s="15" t="s">
        <v>291</v>
      </c>
      <c r="BK141" s="242" t="s">
        <v>82</v>
      </c>
      <c r="BL141" s="9">
        <v>10.714905908789529</v>
      </c>
      <c r="BM141" s="73" t="s">
        <v>1499</v>
      </c>
      <c r="BN141" s="288" t="s">
        <v>197</v>
      </c>
      <c r="BO141" s="9">
        <v>10.565084667803648</v>
      </c>
    </row>
    <row r="142" spans="1:67" x14ac:dyDescent="0.45">
      <c r="A142" s="10">
        <v>122</v>
      </c>
      <c r="B142" s="10" t="s">
        <v>1239</v>
      </c>
      <c r="C142" s="242" t="s">
        <v>2133</v>
      </c>
      <c r="D142" s="65"/>
      <c r="E142" s="63" t="s">
        <v>2267</v>
      </c>
      <c r="F142" s="242" t="s">
        <v>1925</v>
      </c>
      <c r="G142" s="58" t="s">
        <v>2268</v>
      </c>
      <c r="H142" s="10"/>
      <c r="I142" s="62">
        <v>163.59210207000001</v>
      </c>
      <c r="J142" s="62">
        <v>173.86600220000003</v>
      </c>
      <c r="K142" s="62">
        <v>106.69050135000001</v>
      </c>
      <c r="L142" s="49">
        <v>2228.0890535671924</v>
      </c>
      <c r="M142" s="49">
        <v>2096.0509642312591</v>
      </c>
      <c r="N142" s="49">
        <v>1996.0769174173606</v>
      </c>
      <c r="O142" s="61">
        <v>15.802358112146548</v>
      </c>
      <c r="P142" s="60"/>
      <c r="Q142" s="57" t="s">
        <v>101</v>
      </c>
      <c r="R142" s="9">
        <v>20.6310522484</v>
      </c>
      <c r="S142" s="57" t="s">
        <v>101</v>
      </c>
      <c r="T142" s="9">
        <v>12.894407655249999</v>
      </c>
      <c r="U142" s="57" t="s">
        <v>101</v>
      </c>
      <c r="V142" s="9">
        <v>9.375</v>
      </c>
      <c r="W142" s="242" t="s">
        <v>82</v>
      </c>
      <c r="X142" s="9">
        <v>89.339735117800004</v>
      </c>
      <c r="Y142" s="242" t="s">
        <v>82</v>
      </c>
      <c r="Z142" s="9">
        <v>31.907048256357147</v>
      </c>
      <c r="AA142" s="57" t="s">
        <v>101</v>
      </c>
      <c r="AB142" s="57" t="s">
        <v>82</v>
      </c>
      <c r="AC142" s="9">
        <v>19.439742944155739</v>
      </c>
      <c r="AD142" s="242" t="s">
        <v>95</v>
      </c>
      <c r="AE142" s="242" t="s">
        <v>82</v>
      </c>
      <c r="AF142" s="9">
        <v>18.461794200361442</v>
      </c>
      <c r="AG142" s="57" t="s">
        <v>101</v>
      </c>
      <c r="AH142" s="68" t="s">
        <v>73</v>
      </c>
      <c r="AI142" s="9">
        <v>18.18794702356</v>
      </c>
      <c r="AJ142" s="57" t="s">
        <v>95</v>
      </c>
      <c r="AK142" s="77" t="s">
        <v>73</v>
      </c>
      <c r="AL142" s="9">
        <v>17.25755385649412</v>
      </c>
      <c r="AM142" s="57" t="s">
        <v>101</v>
      </c>
      <c r="AN142" s="57" t="s">
        <v>1516</v>
      </c>
      <c r="AO142" s="9">
        <v>16.227991058289064</v>
      </c>
      <c r="AP142" s="60"/>
      <c r="AQ142" s="57" t="s">
        <v>101</v>
      </c>
      <c r="AR142" s="9">
        <v>21.416294338336002</v>
      </c>
      <c r="AS142" s="57" t="s">
        <v>101</v>
      </c>
      <c r="AT142" s="9">
        <v>5.3540735845840004</v>
      </c>
      <c r="AU142" s="242" t="s">
        <v>101</v>
      </c>
      <c r="AV142" s="9">
        <v>3</v>
      </c>
      <c r="AW142" s="57" t="s">
        <v>82</v>
      </c>
      <c r="AX142" s="9">
        <v>115.84165565314001</v>
      </c>
      <c r="AY142" s="242" t="s">
        <v>82</v>
      </c>
      <c r="AZ142" s="9">
        <v>2.106211920966182</v>
      </c>
      <c r="BA142" s="242" t="s">
        <v>101</v>
      </c>
      <c r="BB142" s="242" t="s">
        <v>82</v>
      </c>
      <c r="BC142" s="9">
        <v>11.068948519164485</v>
      </c>
      <c r="BD142" s="242" t="s">
        <v>101</v>
      </c>
      <c r="BE142" s="77" t="s">
        <v>73</v>
      </c>
      <c r="BF142" s="9">
        <v>10.628942175665864</v>
      </c>
      <c r="BG142" s="242" t="s">
        <v>101</v>
      </c>
      <c r="BH142" s="57" t="s">
        <v>1516</v>
      </c>
      <c r="BI142" s="9">
        <v>9.4001314010428576</v>
      </c>
      <c r="BJ142" s="57" t="s">
        <v>95</v>
      </c>
      <c r="BK142" s="242" t="s">
        <v>82</v>
      </c>
      <c r="BL142" s="9">
        <v>7.6695791124156729</v>
      </c>
      <c r="BM142" s="57" t="s">
        <v>95</v>
      </c>
      <c r="BN142" s="77" t="s">
        <v>73</v>
      </c>
      <c r="BO142" s="9">
        <v>7.371095277059883</v>
      </c>
    </row>
    <row r="143" spans="1:67" x14ac:dyDescent="0.45">
      <c r="A143" s="10">
        <v>123</v>
      </c>
      <c r="B143" s="10" t="s">
        <v>159</v>
      </c>
      <c r="C143" s="287" t="s">
        <v>2108</v>
      </c>
      <c r="D143" s="56" t="s">
        <v>2025</v>
      </c>
      <c r="E143" s="287" t="s">
        <v>2205</v>
      </c>
      <c r="F143" s="289" t="s">
        <v>1887</v>
      </c>
      <c r="G143" s="58" t="s">
        <v>2164</v>
      </c>
      <c r="H143" s="80" t="s">
        <v>1892</v>
      </c>
      <c r="I143" s="62">
        <v>184.13990233000001</v>
      </c>
      <c r="J143" s="62">
        <v>146.20550185000002</v>
      </c>
      <c r="K143" s="62">
        <v>147.78610187000001</v>
      </c>
      <c r="L143" s="49">
        <v>2706.7401396296036</v>
      </c>
      <c r="M143" s="49">
        <v>2510.9042137354254</v>
      </c>
      <c r="N143" s="49">
        <v>2364.4874390032223</v>
      </c>
      <c r="O143" s="61">
        <v>18.851018561230244</v>
      </c>
      <c r="P143" s="60"/>
      <c r="Q143" s="16" t="s">
        <v>158</v>
      </c>
      <c r="R143" s="9">
        <v>16.467751795720002</v>
      </c>
      <c r="S143" s="53" t="s">
        <v>185</v>
      </c>
      <c r="T143" s="9">
        <v>13.9096182851875</v>
      </c>
      <c r="U143" s="69" t="s">
        <v>27</v>
      </c>
      <c r="V143" s="9">
        <v>15</v>
      </c>
      <c r="W143" s="289" t="s">
        <v>126</v>
      </c>
      <c r="X143" s="9">
        <v>100.4355472582</v>
      </c>
      <c r="Y143" s="64" t="s">
        <v>52</v>
      </c>
      <c r="Z143" s="9">
        <v>47.463547011071434</v>
      </c>
      <c r="AA143" s="69" t="s">
        <v>27</v>
      </c>
      <c r="AB143" s="15" t="s">
        <v>52</v>
      </c>
      <c r="AC143" s="9">
        <v>19.572101074781369</v>
      </c>
      <c r="AD143" s="289" t="s">
        <v>27</v>
      </c>
      <c r="AE143" s="289" t="s">
        <v>26</v>
      </c>
      <c r="AF143" s="9">
        <v>19.540287056944766</v>
      </c>
      <c r="AG143" s="69" t="s">
        <v>27</v>
      </c>
      <c r="AH143" s="69" t="s">
        <v>126</v>
      </c>
      <c r="AI143" s="9">
        <v>19.391924067445498</v>
      </c>
      <c r="AJ143" s="16" t="s">
        <v>158</v>
      </c>
      <c r="AK143" s="289" t="s">
        <v>26</v>
      </c>
      <c r="AL143" s="9">
        <v>18.85897850264881</v>
      </c>
      <c r="AM143" s="16" t="s">
        <v>158</v>
      </c>
      <c r="AN143" s="69" t="s">
        <v>126</v>
      </c>
      <c r="AO143" s="9">
        <v>18.84271198317526</v>
      </c>
      <c r="AP143" s="60"/>
      <c r="AQ143" s="16" t="s">
        <v>158</v>
      </c>
      <c r="AR143" s="9">
        <v>13.926621143566001</v>
      </c>
      <c r="AS143" s="53" t="s">
        <v>185</v>
      </c>
      <c r="AT143" s="9">
        <v>4.6891827780075008</v>
      </c>
      <c r="AU143" s="289" t="s">
        <v>27</v>
      </c>
      <c r="AV143" s="9">
        <v>4</v>
      </c>
      <c r="AW143" s="15" t="s">
        <v>52</v>
      </c>
      <c r="AX143" s="9">
        <v>156.59821746885001</v>
      </c>
      <c r="AY143" s="64" t="s">
        <v>52</v>
      </c>
      <c r="AZ143" s="9">
        <v>2.2371173924121428</v>
      </c>
      <c r="BA143" s="289" t="s">
        <v>27</v>
      </c>
      <c r="BB143" s="64" t="s">
        <v>52</v>
      </c>
      <c r="BC143" s="9">
        <v>12.128022205672432</v>
      </c>
      <c r="BD143" s="289" t="s">
        <v>27</v>
      </c>
      <c r="BE143" s="289" t="s">
        <v>126</v>
      </c>
      <c r="BF143" s="9">
        <v>11.772184286305</v>
      </c>
      <c r="BG143" s="287" t="s">
        <v>158</v>
      </c>
      <c r="BH143" s="15" t="s">
        <v>52</v>
      </c>
      <c r="BI143" s="9">
        <v>10.886974599403061</v>
      </c>
      <c r="BJ143" s="16" t="s">
        <v>158</v>
      </c>
      <c r="BK143" s="289" t="s">
        <v>126</v>
      </c>
      <c r="BL143" s="9">
        <v>10.624302494893652</v>
      </c>
      <c r="BM143" s="69" t="s">
        <v>27</v>
      </c>
      <c r="BN143" s="289" t="s">
        <v>26</v>
      </c>
      <c r="BO143" s="9">
        <v>10.2069951165</v>
      </c>
    </row>
    <row r="144" spans="1:67" x14ac:dyDescent="0.45">
      <c r="A144" s="10">
        <v>124</v>
      </c>
      <c r="B144" s="10" t="s">
        <v>119</v>
      </c>
      <c r="C144" s="291" t="s">
        <v>2134</v>
      </c>
      <c r="D144" s="65"/>
      <c r="E144" s="289" t="s">
        <v>2269</v>
      </c>
      <c r="F144" s="291" t="s">
        <v>2134</v>
      </c>
      <c r="G144" s="242"/>
      <c r="H144" s="10"/>
      <c r="I144" s="62">
        <v>188.09140238000001</v>
      </c>
      <c r="J144" s="62">
        <v>131.18980166</v>
      </c>
      <c r="K144" s="62">
        <v>140.67340178000001</v>
      </c>
      <c r="L144" s="49">
        <v>2555.2004607164654</v>
      </c>
      <c r="M144" s="49">
        <v>2292.5598018341948</v>
      </c>
      <c r="N144" s="49">
        <v>2102.0218687352613</v>
      </c>
      <c r="O144" s="61">
        <v>16.314605781694148</v>
      </c>
      <c r="P144" s="60"/>
      <c r="Q144" s="57" t="s">
        <v>101</v>
      </c>
      <c r="R144" s="9">
        <v>23.570968285599999</v>
      </c>
      <c r="S144" s="57" t="s">
        <v>101</v>
      </c>
      <c r="T144" s="9">
        <v>14.731855178499998</v>
      </c>
      <c r="U144" s="15" t="s">
        <v>288</v>
      </c>
      <c r="V144" s="9">
        <v>10</v>
      </c>
      <c r="W144" s="58" t="s">
        <v>187</v>
      </c>
      <c r="X144" s="9">
        <v>132.66398166600001</v>
      </c>
      <c r="Y144" s="291" t="s">
        <v>307</v>
      </c>
      <c r="Z144" s="9">
        <v>37.988650846370369</v>
      </c>
      <c r="AA144" s="57" t="s">
        <v>101</v>
      </c>
      <c r="AB144" s="74" t="s">
        <v>307</v>
      </c>
      <c r="AC144" s="9">
        <v>22.548454552348549</v>
      </c>
      <c r="AD144" s="291" t="s">
        <v>109</v>
      </c>
      <c r="AE144" s="291" t="s">
        <v>307</v>
      </c>
      <c r="AF144" s="9">
        <v>21.543979961285284</v>
      </c>
      <c r="AG144" s="15" t="s">
        <v>288</v>
      </c>
      <c r="AH144" s="74" t="s">
        <v>307</v>
      </c>
      <c r="AI144" s="9">
        <v>21.527621166151516</v>
      </c>
      <c r="AJ144" s="57" t="s">
        <v>101</v>
      </c>
      <c r="AK144" s="242" t="s">
        <v>58</v>
      </c>
      <c r="AL144" s="9">
        <v>20.259683624614564</v>
      </c>
      <c r="AM144" s="57" t="s">
        <v>101</v>
      </c>
      <c r="AN144" s="55" t="s">
        <v>187</v>
      </c>
      <c r="AO144" s="9">
        <v>20.249031269741497</v>
      </c>
      <c r="AP144" s="60"/>
      <c r="AQ144" s="57" t="s">
        <v>101</v>
      </c>
      <c r="AR144" s="9">
        <v>24.473807017024001</v>
      </c>
      <c r="AS144" s="57" t="s">
        <v>101</v>
      </c>
      <c r="AT144" s="9">
        <v>6.1184517542560002</v>
      </c>
      <c r="AU144" s="242" t="s">
        <v>101</v>
      </c>
      <c r="AV144" s="9">
        <v>3</v>
      </c>
      <c r="AW144" s="55" t="s">
        <v>187</v>
      </c>
      <c r="AX144" s="9">
        <v>184.38911732050002</v>
      </c>
      <c r="AY144" s="291" t="s">
        <v>307</v>
      </c>
      <c r="AZ144" s="9">
        <v>2.9564480993502222</v>
      </c>
      <c r="BA144" s="242" t="s">
        <v>101</v>
      </c>
      <c r="BB144" s="291" t="s">
        <v>307</v>
      </c>
      <c r="BC144" s="9">
        <v>14.0510587990375</v>
      </c>
      <c r="BD144" s="242" t="s">
        <v>101</v>
      </c>
      <c r="BE144" s="58" t="s">
        <v>187</v>
      </c>
      <c r="BF144" s="9">
        <v>12.975015814496155</v>
      </c>
      <c r="BG144" s="291" t="s">
        <v>109</v>
      </c>
      <c r="BH144" s="74" t="s">
        <v>307</v>
      </c>
      <c r="BI144" s="9">
        <v>12.340435768436421</v>
      </c>
      <c r="BJ144" s="57" t="s">
        <v>101</v>
      </c>
      <c r="BK144" s="242" t="s">
        <v>58</v>
      </c>
      <c r="BL144" s="9">
        <v>12.2171676258325</v>
      </c>
      <c r="BM144" s="74" t="s">
        <v>109</v>
      </c>
      <c r="BN144" s="58" t="s">
        <v>187</v>
      </c>
      <c r="BO144" s="9">
        <v>11.401160511926452</v>
      </c>
    </row>
    <row r="145" spans="1:67" x14ac:dyDescent="0.45">
      <c r="A145" s="10">
        <v>125</v>
      </c>
      <c r="B145" s="10" t="s">
        <v>1234</v>
      </c>
      <c r="C145" s="290" t="s">
        <v>1992</v>
      </c>
      <c r="D145" s="65"/>
      <c r="E145" s="80" t="s">
        <v>1892</v>
      </c>
      <c r="F145" s="287" t="s">
        <v>2211</v>
      </c>
      <c r="G145" s="242"/>
      <c r="H145" s="10"/>
      <c r="I145" s="62">
        <v>168.33390213000001</v>
      </c>
      <c r="J145" s="62">
        <v>136.72190173000001</v>
      </c>
      <c r="K145" s="62">
        <v>140.67340178000001</v>
      </c>
      <c r="L145" s="49">
        <v>2334.5147971905212</v>
      </c>
      <c r="M145" s="49">
        <v>2188.50619741539</v>
      </c>
      <c r="N145" s="49">
        <v>2078.3022155957979</v>
      </c>
      <c r="O145" s="61">
        <v>16.919824439837637</v>
      </c>
      <c r="P145" s="60"/>
      <c r="Q145" s="55" t="s">
        <v>2391</v>
      </c>
      <c r="R145" s="9">
        <v>6.0500170639000004</v>
      </c>
      <c r="S145" s="55" t="s">
        <v>2391</v>
      </c>
      <c r="T145" s="9">
        <v>10.083361773166668</v>
      </c>
      <c r="U145" s="51" t="s">
        <v>115</v>
      </c>
      <c r="V145" s="9">
        <v>13.333</v>
      </c>
      <c r="W145" s="290" t="s">
        <v>222</v>
      </c>
      <c r="X145" s="9">
        <v>102.00034127800001</v>
      </c>
      <c r="Y145" s="64" t="s">
        <v>52</v>
      </c>
      <c r="Z145" s="9">
        <v>43.512046961071434</v>
      </c>
      <c r="AA145" s="51" t="s">
        <v>115</v>
      </c>
      <c r="AB145" s="51" t="s">
        <v>182</v>
      </c>
      <c r="AC145" s="9">
        <v>19.138060747484001</v>
      </c>
      <c r="AD145" s="290" t="s">
        <v>115</v>
      </c>
      <c r="AE145" s="290" t="s">
        <v>222</v>
      </c>
      <c r="AF145" s="9">
        <v>17.710839520460784</v>
      </c>
      <c r="AG145" s="55" t="s">
        <v>140</v>
      </c>
      <c r="AH145" s="51" t="s">
        <v>182</v>
      </c>
      <c r="AI145" s="9">
        <v>17.628944251764445</v>
      </c>
      <c r="AJ145" s="51" t="s">
        <v>115</v>
      </c>
      <c r="AK145" s="64" t="s">
        <v>52</v>
      </c>
      <c r="AL145" s="9">
        <v>17.395886658020835</v>
      </c>
      <c r="AM145" s="51" t="s">
        <v>115</v>
      </c>
      <c r="AN145" s="51" t="s">
        <v>5</v>
      </c>
      <c r="AO145" s="9">
        <v>16.6647809320969</v>
      </c>
      <c r="AP145" s="60"/>
      <c r="AQ145" s="55" t="s">
        <v>140</v>
      </c>
      <c r="AR145" s="9">
        <v>5.3766814553800009</v>
      </c>
      <c r="AS145" s="55" t="s">
        <v>140</v>
      </c>
      <c r="AT145" s="9">
        <v>2.6883407276900004</v>
      </c>
      <c r="AU145" s="290" t="s">
        <v>115</v>
      </c>
      <c r="AV145" s="9">
        <v>4.5</v>
      </c>
      <c r="AW145" s="15" t="s">
        <v>52</v>
      </c>
      <c r="AX145" s="9">
        <v>143.24214729985002</v>
      </c>
      <c r="AY145" s="290" t="s">
        <v>222</v>
      </c>
      <c r="AZ145" s="9">
        <v>2.205007394356667</v>
      </c>
      <c r="BA145" s="290" t="s">
        <v>115</v>
      </c>
      <c r="BB145" s="290" t="s">
        <v>222</v>
      </c>
      <c r="BC145" s="9">
        <v>11.527479004210234</v>
      </c>
      <c r="BD145" s="290" t="s">
        <v>115</v>
      </c>
      <c r="BE145" s="290" t="s">
        <v>182</v>
      </c>
      <c r="BF145" s="9">
        <v>11.295624585702944</v>
      </c>
      <c r="BG145" s="290" t="s">
        <v>115</v>
      </c>
      <c r="BH145" s="15" t="s">
        <v>52</v>
      </c>
      <c r="BI145" s="9">
        <v>10.97255206300396</v>
      </c>
      <c r="BJ145" s="51" t="s">
        <v>115</v>
      </c>
      <c r="BK145" s="290" t="s">
        <v>5</v>
      </c>
      <c r="BL145" s="9">
        <v>9.6235699833439323</v>
      </c>
      <c r="BM145" s="55" t="s">
        <v>140</v>
      </c>
      <c r="BN145" s="290" t="s">
        <v>222</v>
      </c>
      <c r="BO145" s="9">
        <v>7.8728248450384015</v>
      </c>
    </row>
    <row r="146" spans="1:67" x14ac:dyDescent="0.45">
      <c r="A146" s="10">
        <v>126</v>
      </c>
      <c r="B146" s="10" t="s">
        <v>1233</v>
      </c>
      <c r="C146" s="75" t="s">
        <v>1976</v>
      </c>
      <c r="D146" s="65"/>
      <c r="E146" s="80" t="s">
        <v>2198</v>
      </c>
      <c r="F146" s="289" t="s">
        <v>2199</v>
      </c>
      <c r="G146" s="242"/>
      <c r="H146" s="10"/>
      <c r="I146" s="62">
        <v>174.65630221000001</v>
      </c>
      <c r="J146" s="62">
        <v>133.56070169</v>
      </c>
      <c r="K146" s="62">
        <v>140.67340178000001</v>
      </c>
      <c r="L146" s="49">
        <v>2394.030075478965</v>
      </c>
      <c r="M146" s="49">
        <v>2208.2587600724378</v>
      </c>
      <c r="N146" s="49">
        <v>2070.0758074587861</v>
      </c>
      <c r="O146" s="61">
        <v>16.574708547010179</v>
      </c>
      <c r="P146" s="60"/>
      <c r="Q146" s="70" t="s">
        <v>138</v>
      </c>
      <c r="R146" s="9">
        <v>11.479378132600001</v>
      </c>
      <c r="S146" s="70" t="s">
        <v>138</v>
      </c>
      <c r="T146" s="9">
        <v>11.479378132600001</v>
      </c>
      <c r="U146" s="55" t="s">
        <v>1507</v>
      </c>
      <c r="V146" s="9">
        <v>12.5</v>
      </c>
      <c r="W146" s="75" t="s">
        <v>19</v>
      </c>
      <c r="X146" s="9">
        <v>147.7112938564</v>
      </c>
      <c r="Y146" s="64" t="s">
        <v>52</v>
      </c>
      <c r="Z146" s="9">
        <v>45.092646981071432</v>
      </c>
      <c r="AA146" s="55" t="s">
        <v>1507</v>
      </c>
      <c r="AB146" s="70" t="s">
        <v>19</v>
      </c>
      <c r="AC146" s="9">
        <v>18.653591372163934</v>
      </c>
      <c r="AD146" s="75" t="s">
        <v>138</v>
      </c>
      <c r="AE146" s="75" t="s">
        <v>19</v>
      </c>
      <c r="AF146" s="9">
        <v>18.486272900169013</v>
      </c>
      <c r="AG146" s="55" t="s">
        <v>1507</v>
      </c>
      <c r="AH146" s="70" t="s">
        <v>76</v>
      </c>
      <c r="AI146" s="9">
        <v>18.43337215648387</v>
      </c>
      <c r="AJ146" s="70" t="s">
        <v>138</v>
      </c>
      <c r="AK146" s="75" t="s">
        <v>76</v>
      </c>
      <c r="AL146" s="9">
        <v>18.298963554333334</v>
      </c>
      <c r="AM146" s="55" t="s">
        <v>1507</v>
      </c>
      <c r="AN146" s="70" t="s">
        <v>13</v>
      </c>
      <c r="AO146" s="9">
        <v>17.518647950130138</v>
      </c>
      <c r="AP146" s="60"/>
      <c r="AQ146" s="70" t="s">
        <v>138</v>
      </c>
      <c r="AR146" s="9">
        <v>9.1739149434280005</v>
      </c>
      <c r="AS146" s="70" t="s">
        <v>138</v>
      </c>
      <c r="AT146" s="9">
        <v>4.5869574717140003</v>
      </c>
      <c r="AU146" s="58" t="s">
        <v>1507</v>
      </c>
      <c r="AV146" s="9">
        <v>3.5</v>
      </c>
      <c r="AW146" s="70" t="s">
        <v>19</v>
      </c>
      <c r="AX146" s="9">
        <v>191.72468201332001</v>
      </c>
      <c r="AY146" s="75" t="s">
        <v>19</v>
      </c>
      <c r="AZ146" s="9">
        <v>2.3965585251665003</v>
      </c>
      <c r="BA146" s="75" t="s">
        <v>138</v>
      </c>
      <c r="BB146" s="75" t="s">
        <v>19</v>
      </c>
      <c r="BC146" s="9">
        <v>11.350971611772049</v>
      </c>
      <c r="BD146" s="58" t="s">
        <v>1507</v>
      </c>
      <c r="BE146" s="75" t="s">
        <v>19</v>
      </c>
      <c r="BF146" s="9">
        <v>11.23460574754036</v>
      </c>
      <c r="BG146" s="75" t="s">
        <v>138</v>
      </c>
      <c r="BH146" s="70" t="s">
        <v>76</v>
      </c>
      <c r="BI146" s="9">
        <v>10.743255748250517</v>
      </c>
      <c r="BJ146" s="55" t="s">
        <v>1507</v>
      </c>
      <c r="BK146" s="75" t="s">
        <v>76</v>
      </c>
      <c r="BL146" s="9">
        <v>10.533839395387307</v>
      </c>
      <c r="BM146" s="70" t="s">
        <v>138</v>
      </c>
      <c r="BN146" s="64" t="s">
        <v>52</v>
      </c>
      <c r="BO146" s="9">
        <v>10.504667796196303</v>
      </c>
    </row>
    <row r="147" spans="1:67" x14ac:dyDescent="0.45">
      <c r="A147" s="10">
        <v>127</v>
      </c>
      <c r="B147" s="10" t="s">
        <v>260</v>
      </c>
      <c r="C147" s="289" t="s">
        <v>1887</v>
      </c>
      <c r="D147" s="65"/>
      <c r="E147" s="287" t="s">
        <v>2203</v>
      </c>
      <c r="F147" s="58" t="s">
        <v>2204</v>
      </c>
      <c r="G147" s="242"/>
      <c r="H147" s="10"/>
      <c r="I147" s="62">
        <v>199.94590253000001</v>
      </c>
      <c r="J147" s="62">
        <v>155.68910197000002</v>
      </c>
      <c r="K147" s="62">
        <v>140.67340178000001</v>
      </c>
      <c r="L147" s="49">
        <v>2959.0180221779583</v>
      </c>
      <c r="M147" s="49">
        <v>2676.6308218862591</v>
      </c>
      <c r="N147" s="49">
        <v>2470.2514683426789</v>
      </c>
      <c r="O147" s="61">
        <v>18.950871438399815</v>
      </c>
      <c r="P147" s="60"/>
      <c r="Q147" s="55" t="s">
        <v>53</v>
      </c>
      <c r="R147" s="9">
        <v>15.995942689750001</v>
      </c>
      <c r="S147" s="69" t="s">
        <v>38</v>
      </c>
      <c r="T147" s="9">
        <v>13.996754151800001</v>
      </c>
      <c r="U147" s="69" t="s">
        <v>27</v>
      </c>
      <c r="V147" s="9">
        <v>15</v>
      </c>
      <c r="W147" s="58" t="s">
        <v>216</v>
      </c>
      <c r="X147" s="9">
        <v>100.97295126500001</v>
      </c>
      <c r="Y147" s="58" t="s">
        <v>216</v>
      </c>
      <c r="Z147" s="9">
        <v>43.901283158695655</v>
      </c>
      <c r="AA147" s="69" t="s">
        <v>38</v>
      </c>
      <c r="AB147" s="69" t="s">
        <v>26</v>
      </c>
      <c r="AC147" s="9">
        <v>21.441304490936549</v>
      </c>
      <c r="AD147" s="289" t="s">
        <v>27</v>
      </c>
      <c r="AE147" s="289" t="s">
        <v>26</v>
      </c>
      <c r="AF147" s="9">
        <v>21.070344634444766</v>
      </c>
      <c r="AG147" s="69" t="s">
        <v>38</v>
      </c>
      <c r="AH147" s="55" t="s">
        <v>216</v>
      </c>
      <c r="AI147" s="9">
        <v>20.365311255120371</v>
      </c>
      <c r="AJ147" s="69" t="s">
        <v>38</v>
      </c>
      <c r="AK147" s="58" t="s">
        <v>1774</v>
      </c>
      <c r="AL147" s="9">
        <v>20.134439656895353</v>
      </c>
      <c r="AM147" s="69" t="s">
        <v>27</v>
      </c>
      <c r="AN147" s="55" t="s">
        <v>216</v>
      </c>
      <c r="AO147" s="9">
        <v>19.687516202107695</v>
      </c>
      <c r="AP147" s="60"/>
      <c r="AQ147" s="55" t="s">
        <v>53</v>
      </c>
      <c r="AR147" s="9">
        <v>12.696835298005</v>
      </c>
      <c r="AS147" s="69" t="s">
        <v>38</v>
      </c>
      <c r="AT147" s="9">
        <v>5.6787341192020007</v>
      </c>
      <c r="AU147" s="289" t="s">
        <v>27</v>
      </c>
      <c r="AV147" s="9">
        <v>4</v>
      </c>
      <c r="AW147" s="55" t="s">
        <v>216</v>
      </c>
      <c r="AX147" s="9">
        <v>130.96483664450002</v>
      </c>
      <c r="AY147" s="58" t="s">
        <v>216</v>
      </c>
      <c r="AZ147" s="9">
        <v>2.9103297032111115</v>
      </c>
      <c r="BA147" s="289" t="s">
        <v>27</v>
      </c>
      <c r="BB147" s="58" t="s">
        <v>216</v>
      </c>
      <c r="BC147" s="9">
        <v>14.473905513348164</v>
      </c>
      <c r="BD147" s="289" t="s">
        <v>27</v>
      </c>
      <c r="BE147" s="58" t="s">
        <v>1774</v>
      </c>
      <c r="BF147" s="9">
        <v>13.878333812955002</v>
      </c>
      <c r="BG147" s="289" t="s">
        <v>38</v>
      </c>
      <c r="BH147" s="55" t="s">
        <v>216</v>
      </c>
      <c r="BI147" s="9">
        <v>13.509115527033128</v>
      </c>
      <c r="BJ147" s="69" t="s">
        <v>38</v>
      </c>
      <c r="BK147" s="58" t="s">
        <v>1774</v>
      </c>
      <c r="BL147" s="9">
        <v>13.059527865385</v>
      </c>
      <c r="BM147" s="69" t="s">
        <v>27</v>
      </c>
      <c r="BN147" s="289" t="s">
        <v>26</v>
      </c>
      <c r="BO147" s="9">
        <v>10.997295126500001</v>
      </c>
    </row>
    <row r="148" spans="1:67" x14ac:dyDescent="0.45">
      <c r="A148" s="10">
        <v>128</v>
      </c>
      <c r="B148" s="10" t="s">
        <v>131</v>
      </c>
      <c r="C148" s="64" t="s">
        <v>1889</v>
      </c>
      <c r="D148" s="65"/>
      <c r="E148" s="58" t="s">
        <v>1903</v>
      </c>
      <c r="F148" s="77"/>
      <c r="G148" s="77" t="s">
        <v>1888</v>
      </c>
      <c r="H148" s="10"/>
      <c r="I148" s="62">
        <v>168.33390213000001</v>
      </c>
      <c r="J148" s="62">
        <v>156.47940198000001</v>
      </c>
      <c r="K148" s="62">
        <v>154.89880196000001</v>
      </c>
      <c r="L148" s="49">
        <v>2620.7416401082096</v>
      </c>
      <c r="M148" s="49">
        <v>2553.3943020273218</v>
      </c>
      <c r="N148" s="49">
        <v>2500.7646722656573</v>
      </c>
      <c r="O148" s="61">
        <v>20.95884445206784</v>
      </c>
      <c r="P148" s="60"/>
      <c r="Q148" s="57" t="s">
        <v>95</v>
      </c>
      <c r="R148" s="9">
        <v>11.100034127800001</v>
      </c>
      <c r="S148" s="15" t="s">
        <v>127</v>
      </c>
      <c r="T148" s="9">
        <v>12.100034127800001</v>
      </c>
      <c r="U148" s="15" t="s">
        <v>127</v>
      </c>
      <c r="V148" s="9">
        <v>10</v>
      </c>
      <c r="W148" s="80" t="s">
        <v>79</v>
      </c>
      <c r="X148" s="9">
        <v>118.83373149100001</v>
      </c>
      <c r="Y148" s="80" t="s">
        <v>79</v>
      </c>
      <c r="Z148" s="9">
        <v>33.009369858611116</v>
      </c>
      <c r="AA148" s="15" t="s">
        <v>127</v>
      </c>
      <c r="AB148" s="71" t="s">
        <v>79</v>
      </c>
      <c r="AC148" s="9">
        <v>17.634858291838238</v>
      </c>
      <c r="AD148" s="64" t="s">
        <v>127</v>
      </c>
      <c r="AE148" s="59" t="s">
        <v>184</v>
      </c>
      <c r="AF148" s="9">
        <v>16.231933518550726</v>
      </c>
      <c r="AG148" s="15" t="s">
        <v>127</v>
      </c>
      <c r="AH148" s="15" t="s">
        <v>1537</v>
      </c>
      <c r="AI148" s="9">
        <v>15.768537029684889</v>
      </c>
      <c r="AJ148" s="57" t="s">
        <v>95</v>
      </c>
      <c r="AK148" s="80" t="s">
        <v>79</v>
      </c>
      <c r="AL148" s="9">
        <v>15.74205977869863</v>
      </c>
      <c r="AM148" s="57" t="s">
        <v>95</v>
      </c>
      <c r="AN148" s="53" t="s">
        <v>184</v>
      </c>
      <c r="AO148" s="9">
        <v>14.459505578108109</v>
      </c>
      <c r="AP148" s="60"/>
      <c r="AQ148" s="57" t="s">
        <v>95</v>
      </c>
      <c r="AR148" s="9">
        <v>9.7533629107600017</v>
      </c>
      <c r="AS148" s="15" t="s">
        <v>127</v>
      </c>
      <c r="AT148" s="9">
        <v>4.9390133098420002</v>
      </c>
      <c r="AU148" s="242" t="s">
        <v>2467</v>
      </c>
      <c r="AV148" s="9">
        <v>2</v>
      </c>
      <c r="AW148" s="71" t="s">
        <v>79</v>
      </c>
      <c r="AX148" s="9">
        <v>132.30044366140001</v>
      </c>
      <c r="AY148" s="80" t="s">
        <v>79</v>
      </c>
      <c r="AZ148" s="9">
        <v>2.0353914409446157</v>
      </c>
      <c r="BA148" s="64" t="s">
        <v>127</v>
      </c>
      <c r="BB148" s="80" t="s">
        <v>79</v>
      </c>
      <c r="BC148" s="9">
        <v>8.7408470516795518</v>
      </c>
      <c r="BD148" s="64" t="s">
        <v>127</v>
      </c>
      <c r="BE148" s="59" t="s">
        <v>184</v>
      </c>
      <c r="BF148" s="9">
        <v>7.7333560852000005</v>
      </c>
      <c r="BG148" s="64" t="s">
        <v>127</v>
      </c>
      <c r="BH148" s="15" t="s">
        <v>1537</v>
      </c>
      <c r="BI148" s="9">
        <v>7.56502218307</v>
      </c>
      <c r="BJ148" s="57" t="s">
        <v>95</v>
      </c>
      <c r="BK148" s="80" t="s">
        <v>79</v>
      </c>
      <c r="BL148" s="9">
        <v>7.1033395580487575</v>
      </c>
      <c r="BM148" s="57" t="s">
        <v>95</v>
      </c>
      <c r="BN148" s="59" t="s">
        <v>184</v>
      </c>
      <c r="BO148" s="9">
        <v>6.1103826817493605</v>
      </c>
    </row>
    <row r="149" spans="1:67" x14ac:dyDescent="0.45">
      <c r="A149" s="10">
        <v>129</v>
      </c>
      <c r="B149" s="10" t="s">
        <v>1231</v>
      </c>
      <c r="C149" s="288" t="s">
        <v>1993</v>
      </c>
      <c r="D149" s="65"/>
      <c r="E149" s="290" t="s">
        <v>2201</v>
      </c>
      <c r="F149" s="59" t="s">
        <v>2202</v>
      </c>
      <c r="G149" s="242"/>
      <c r="H149" s="10"/>
      <c r="I149" s="62">
        <v>34.773200440000004</v>
      </c>
      <c r="J149" s="62">
        <v>79.030000999999999</v>
      </c>
      <c r="K149" s="62">
        <v>79.030000999999999</v>
      </c>
      <c r="L149" s="49">
        <v>274.81260655464007</v>
      </c>
      <c r="M149" s="49">
        <v>361.31480657480995</v>
      </c>
      <c r="N149" s="49">
        <v>449.74365546107612</v>
      </c>
      <c r="O149" s="61">
        <v>5.7882923109382585</v>
      </c>
      <c r="P149" s="60"/>
      <c r="Q149" s="73" t="s">
        <v>1230</v>
      </c>
      <c r="R149" s="9">
        <v>1</v>
      </c>
      <c r="S149" s="73" t="s">
        <v>1230</v>
      </c>
      <c r="T149" s="9">
        <v>0.5780346820809249</v>
      </c>
      <c r="U149" s="73" t="s">
        <v>1230</v>
      </c>
      <c r="V149" s="9">
        <v>1.157</v>
      </c>
      <c r="W149" s="64" t="s">
        <v>3423</v>
      </c>
      <c r="X149" s="9">
        <v>7.0853100770000008</v>
      </c>
      <c r="Y149" s="64" t="s">
        <v>52</v>
      </c>
      <c r="Z149" s="9">
        <v>10.12187153857143</v>
      </c>
      <c r="AA149" s="73" t="s">
        <v>1230</v>
      </c>
      <c r="AB149" s="15" t="s">
        <v>52</v>
      </c>
      <c r="AC149" s="9">
        <v>0.8042430048645598</v>
      </c>
      <c r="AD149" s="288" t="s">
        <v>1230</v>
      </c>
      <c r="AE149" s="64" t="s">
        <v>645</v>
      </c>
      <c r="AF149" s="9">
        <v>0.76536981988184749</v>
      </c>
      <c r="AG149" s="73" t="s">
        <v>1230</v>
      </c>
      <c r="AH149" s="15" t="s">
        <v>1535</v>
      </c>
      <c r="AI149" s="9">
        <v>0.62936194665945944</v>
      </c>
      <c r="AJ149" s="57"/>
      <c r="AK149" s="78"/>
      <c r="AL149" s="9"/>
      <c r="AM149" s="57"/>
      <c r="AN149" s="53"/>
      <c r="AO149" s="9"/>
      <c r="AP149" s="60"/>
      <c r="AQ149" s="73" t="s">
        <v>1230</v>
      </c>
      <c r="AR149" s="9">
        <v>1</v>
      </c>
      <c r="AS149" s="73" t="s">
        <v>1230</v>
      </c>
      <c r="AT149" s="9">
        <v>0.25</v>
      </c>
      <c r="AU149" s="288" t="s">
        <v>1230</v>
      </c>
      <c r="AV149" s="9">
        <v>3</v>
      </c>
      <c r="AW149" s="15" t="s">
        <v>52</v>
      </c>
      <c r="AX149" s="9">
        <v>30.383354371800003</v>
      </c>
      <c r="AY149" s="64" t="s">
        <v>52</v>
      </c>
      <c r="AZ149" s="9">
        <v>0.43404791959714289</v>
      </c>
      <c r="BA149" s="288" t="s">
        <v>1230</v>
      </c>
      <c r="BB149" s="64" t="s">
        <v>52</v>
      </c>
      <c r="BC149" s="9">
        <v>1.4883570289780825</v>
      </c>
      <c r="BD149" s="288" t="s">
        <v>1230</v>
      </c>
      <c r="BE149" s="64" t="s">
        <v>645</v>
      </c>
      <c r="BF149" s="9">
        <v>0.50225931359514564</v>
      </c>
      <c r="BG149" s="288" t="s">
        <v>1230</v>
      </c>
      <c r="BH149" s="15" t="s">
        <v>1535</v>
      </c>
      <c r="BI149" s="9">
        <v>0.37370923405205481</v>
      </c>
      <c r="BJ149" s="57"/>
      <c r="BK149" s="76"/>
      <c r="BL149" s="9"/>
      <c r="BM149" s="57"/>
      <c r="BN149" s="78"/>
      <c r="BO149" s="9"/>
    </row>
    <row r="150" spans="1:67" x14ac:dyDescent="0.45">
      <c r="A150" s="10">
        <v>130</v>
      </c>
      <c r="B150" s="10" t="s">
        <v>233</v>
      </c>
      <c r="C150" s="287" t="s">
        <v>2135</v>
      </c>
      <c r="D150" s="290" t="s">
        <v>1992</v>
      </c>
      <c r="E150" s="56" t="s">
        <v>2025</v>
      </c>
      <c r="F150" s="58" t="s">
        <v>2270</v>
      </c>
      <c r="G150" s="80" t="s">
        <v>1892</v>
      </c>
      <c r="H150" s="10"/>
      <c r="I150" s="62">
        <v>199.15560252</v>
      </c>
      <c r="J150" s="62">
        <v>158.85030201000001</v>
      </c>
      <c r="K150" s="62">
        <v>182.55930231000002</v>
      </c>
      <c r="L150" s="49">
        <v>3391.4743304648314</v>
      </c>
      <c r="M150" s="49">
        <v>3219.015196504934</v>
      </c>
      <c r="N150" s="49">
        <v>3087.3838001209824</v>
      </c>
      <c r="O150" s="61">
        <v>25.024457651155835</v>
      </c>
      <c r="P150" s="60"/>
      <c r="Q150" s="73" t="s">
        <v>206</v>
      </c>
      <c r="R150" s="9">
        <v>20.118937841920001</v>
      </c>
      <c r="S150" s="73" t="s">
        <v>206</v>
      </c>
      <c r="T150" s="9">
        <v>16.765781534933335</v>
      </c>
      <c r="U150" s="66" t="s">
        <v>88</v>
      </c>
      <c r="V150" s="9">
        <v>8.1820000000000004</v>
      </c>
      <c r="W150" s="288" t="s">
        <v>197</v>
      </c>
      <c r="X150" s="9">
        <v>156.34136996559999</v>
      </c>
      <c r="Y150" s="64" t="s">
        <v>52</v>
      </c>
      <c r="Z150" s="9">
        <v>51.217472058571438</v>
      </c>
      <c r="AA150" s="73" t="s">
        <v>206</v>
      </c>
      <c r="AB150" s="73" t="s">
        <v>197</v>
      </c>
      <c r="AC150" s="9">
        <v>22.110453011140741</v>
      </c>
      <c r="AD150" s="78" t="s">
        <v>88</v>
      </c>
      <c r="AE150" s="288" t="s">
        <v>197</v>
      </c>
      <c r="AF150" s="9">
        <v>21.065540135369698</v>
      </c>
      <c r="AG150" s="73" t="s">
        <v>206</v>
      </c>
      <c r="AH150" s="15" t="s">
        <v>52</v>
      </c>
      <c r="AI150" s="9">
        <v>20.996690897485383</v>
      </c>
      <c r="AJ150" s="67" t="s">
        <v>66</v>
      </c>
      <c r="AK150" s="288" t="s">
        <v>197</v>
      </c>
      <c r="AL150" s="9">
        <v>20.93089062377215</v>
      </c>
      <c r="AM150" s="66" t="s">
        <v>254</v>
      </c>
      <c r="AN150" s="73" t="s">
        <v>197</v>
      </c>
      <c r="AO150" s="9">
        <v>20.93089062377215</v>
      </c>
      <c r="AP150" s="60"/>
      <c r="AQ150" s="73" t="s">
        <v>206</v>
      </c>
      <c r="AR150" s="9">
        <v>19.640964395872</v>
      </c>
      <c r="AS150" s="73" t="s">
        <v>206</v>
      </c>
      <c r="AT150" s="9">
        <v>6.5469881319573338</v>
      </c>
      <c r="AU150" s="78" t="s">
        <v>88</v>
      </c>
      <c r="AV150" s="9">
        <v>3.3333333333333002</v>
      </c>
      <c r="AW150" s="73" t="s">
        <v>197</v>
      </c>
      <c r="AX150" s="9">
        <v>202.94378095528</v>
      </c>
      <c r="AY150" s="288" t="s">
        <v>197</v>
      </c>
      <c r="AZ150" s="9">
        <v>2.7059170794037333</v>
      </c>
      <c r="BA150" s="78" t="s">
        <v>254</v>
      </c>
      <c r="BB150" s="288" t="s">
        <v>197</v>
      </c>
      <c r="BC150" s="9">
        <v>13.74595856128</v>
      </c>
      <c r="BD150" s="288" t="s">
        <v>206</v>
      </c>
      <c r="BE150" s="288" t="s">
        <v>197</v>
      </c>
      <c r="BF150" s="9">
        <v>13.290225653788156</v>
      </c>
      <c r="BG150" s="78" t="s">
        <v>254</v>
      </c>
      <c r="BH150" s="15" t="s">
        <v>52</v>
      </c>
      <c r="BI150" s="9">
        <v>12.881132177734248</v>
      </c>
      <c r="BJ150" s="66" t="s">
        <v>254</v>
      </c>
      <c r="BK150" s="78" t="s">
        <v>175</v>
      </c>
      <c r="BL150" s="9">
        <v>12.7122461482</v>
      </c>
      <c r="BM150" s="66" t="s">
        <v>88</v>
      </c>
      <c r="BN150" s="288" t="s">
        <v>197</v>
      </c>
      <c r="BO150" s="9">
        <v>12.673331981316171</v>
      </c>
    </row>
    <row r="151" spans="1:67" x14ac:dyDescent="0.45">
      <c r="A151" s="10">
        <v>131</v>
      </c>
      <c r="B151" s="10" t="s">
        <v>136</v>
      </c>
      <c r="C151" s="288" t="s">
        <v>2126</v>
      </c>
      <c r="D151" s="65"/>
      <c r="E151" s="58" t="s">
        <v>2250</v>
      </c>
      <c r="F151" s="288" t="s">
        <v>1993</v>
      </c>
      <c r="G151" s="291" t="s">
        <v>1919</v>
      </c>
      <c r="H151" s="10"/>
      <c r="I151" s="62">
        <v>142.2540018</v>
      </c>
      <c r="J151" s="62">
        <v>149.36670189</v>
      </c>
      <c r="K151" s="62">
        <v>230.76760292</v>
      </c>
      <c r="L151" s="49">
        <v>2641.0632844726388</v>
      </c>
      <c r="M151" s="49">
        <v>2886.2154602040359</v>
      </c>
      <c r="N151" s="49">
        <v>3098.6227234390371</v>
      </c>
      <c r="O151" s="61">
        <v>29.989554851851263</v>
      </c>
      <c r="P151" s="60"/>
      <c r="Q151" s="74" t="s">
        <v>241</v>
      </c>
      <c r="R151" s="9">
        <v>11.242288129599999</v>
      </c>
      <c r="S151" s="74" t="s">
        <v>109</v>
      </c>
      <c r="T151" s="9">
        <v>10.594711231111111</v>
      </c>
      <c r="U151" s="73" t="s">
        <v>3459</v>
      </c>
      <c r="V151" s="9">
        <v>10</v>
      </c>
      <c r="W151" s="288" t="s">
        <v>2393</v>
      </c>
      <c r="X151" s="9">
        <v>111.958121404</v>
      </c>
      <c r="Y151" s="64" t="s">
        <v>52</v>
      </c>
      <c r="Z151" s="9">
        <v>36.99207187857143</v>
      </c>
      <c r="AA151" s="73" t="s">
        <v>121</v>
      </c>
      <c r="AB151" s="74" t="s">
        <v>132</v>
      </c>
      <c r="AC151" s="9">
        <v>16.588589502595418</v>
      </c>
      <c r="AD151" s="288" t="s">
        <v>121</v>
      </c>
      <c r="AE151" s="288" t="s">
        <v>197</v>
      </c>
      <c r="AF151" s="9">
        <v>16.33913702887218</v>
      </c>
      <c r="AG151" s="73" t="s">
        <v>121</v>
      </c>
      <c r="AH151" s="73" t="s">
        <v>218</v>
      </c>
      <c r="AI151" s="9">
        <v>16.291830036119404</v>
      </c>
      <c r="AJ151" s="74" t="s">
        <v>109</v>
      </c>
      <c r="AK151" s="291" t="s">
        <v>132</v>
      </c>
      <c r="AL151" s="9">
        <v>15.940286676216214</v>
      </c>
      <c r="AM151" s="74" t="s">
        <v>109</v>
      </c>
      <c r="AN151" s="73" t="s">
        <v>218</v>
      </c>
      <c r="AO151" s="9">
        <v>15.846322372286689</v>
      </c>
      <c r="AP151" s="60"/>
      <c r="AQ151" s="74" t="s">
        <v>241</v>
      </c>
      <c r="AR151" s="9">
        <v>10.986230926359999</v>
      </c>
      <c r="AS151" s="74" t="s">
        <v>109</v>
      </c>
      <c r="AT151" s="9">
        <v>4.3835342491400002</v>
      </c>
      <c r="AU151" s="291" t="s">
        <v>241</v>
      </c>
      <c r="AV151" s="9">
        <v>3.3333333333333002</v>
      </c>
      <c r="AW151" s="73" t="s">
        <v>2468</v>
      </c>
      <c r="AX151" s="9">
        <v>145.2455578252</v>
      </c>
      <c r="AY151" s="288" t="s">
        <v>2469</v>
      </c>
      <c r="AZ151" s="9">
        <v>1.9366074376693332</v>
      </c>
      <c r="BA151" s="288" t="s">
        <v>121</v>
      </c>
      <c r="BB151" s="288" t="s">
        <v>197</v>
      </c>
      <c r="BC151" s="9">
        <v>9.7486211107000003</v>
      </c>
      <c r="BD151" s="288" t="s">
        <v>121</v>
      </c>
      <c r="BE151" s="291" t="s">
        <v>132</v>
      </c>
      <c r="BF151" s="9">
        <v>9.7486211107000003</v>
      </c>
      <c r="BG151" s="291" t="s">
        <v>241</v>
      </c>
      <c r="BH151" s="73" t="s">
        <v>197</v>
      </c>
      <c r="BI151" s="9">
        <v>9.6869059477829786</v>
      </c>
      <c r="BJ151" s="74" t="s">
        <v>241</v>
      </c>
      <c r="BK151" s="291" t="s">
        <v>132</v>
      </c>
      <c r="BL151" s="9">
        <v>9.6869059477829786</v>
      </c>
      <c r="BM151" s="73" t="s">
        <v>121</v>
      </c>
      <c r="BN151" s="291" t="s">
        <v>189</v>
      </c>
      <c r="BO151" s="9">
        <v>9.3218591052999997</v>
      </c>
    </row>
    <row r="152" spans="1:67" x14ac:dyDescent="0.45">
      <c r="A152" s="10">
        <v>132</v>
      </c>
      <c r="B152" s="10" t="s">
        <v>1228</v>
      </c>
      <c r="C152" s="64" t="s">
        <v>1889</v>
      </c>
      <c r="D152" s="65"/>
      <c r="E152" s="58" t="s">
        <v>1903</v>
      </c>
      <c r="F152" s="77"/>
      <c r="G152" s="77" t="s">
        <v>1888</v>
      </c>
      <c r="H152" s="10"/>
      <c r="I152" s="62">
        <v>83.771801060000001</v>
      </c>
      <c r="J152" s="62">
        <v>83.771801060000001</v>
      </c>
      <c r="K152" s="62">
        <v>117.75470149</v>
      </c>
      <c r="L152" s="49">
        <v>832.02410179997548</v>
      </c>
      <c r="M152" s="49">
        <v>880.60802896151722</v>
      </c>
      <c r="N152" s="49">
        <v>921.50994796996963</v>
      </c>
      <c r="O152" s="61">
        <v>9.1020299821898067</v>
      </c>
      <c r="P152" s="60"/>
      <c r="Q152" s="15" t="s">
        <v>1227</v>
      </c>
      <c r="R152" s="9">
        <v>1</v>
      </c>
      <c r="S152" s="15" t="s">
        <v>1227</v>
      </c>
      <c r="T152" s="9">
        <v>0.44843049327354262</v>
      </c>
      <c r="U152" s="73"/>
      <c r="V152" s="9"/>
      <c r="W152" s="64" t="s">
        <v>645</v>
      </c>
      <c r="X152" s="9">
        <v>18.592078222599998</v>
      </c>
      <c r="Y152" s="64" t="s">
        <v>645</v>
      </c>
      <c r="Z152" s="9">
        <v>8.450944646636362</v>
      </c>
      <c r="AA152" s="15" t="s">
        <v>1227</v>
      </c>
      <c r="AB152" s="15" t="s">
        <v>645</v>
      </c>
      <c r="AC152" s="9">
        <v>0</v>
      </c>
      <c r="AD152" s="78"/>
      <c r="AE152" s="76"/>
      <c r="AF152" s="9"/>
      <c r="AG152" s="73"/>
      <c r="AH152" s="73"/>
      <c r="AI152" s="9"/>
      <c r="AJ152" s="74"/>
      <c r="AK152" s="78"/>
      <c r="AL152" s="9"/>
      <c r="AM152" s="74"/>
      <c r="AN152" s="73"/>
      <c r="AO152" s="9"/>
      <c r="AP152" s="60"/>
      <c r="AQ152" s="15" t="s">
        <v>1227</v>
      </c>
      <c r="AR152" s="9">
        <v>1</v>
      </c>
      <c r="AS152" s="15" t="s">
        <v>1227</v>
      </c>
      <c r="AT152" s="9">
        <v>0.33333333333333331</v>
      </c>
      <c r="AU152" s="78"/>
      <c r="AV152" s="9"/>
      <c r="AW152" s="15" t="s">
        <v>645</v>
      </c>
      <c r="AX152" s="9">
        <v>23.869701689380001</v>
      </c>
      <c r="AY152" s="64" t="s">
        <v>645</v>
      </c>
      <c r="AZ152" s="9">
        <v>0.23869701689380002</v>
      </c>
      <c r="BA152" s="64" t="s">
        <v>1227</v>
      </c>
      <c r="BB152" s="64" t="s">
        <v>645</v>
      </c>
      <c r="BC152" s="9">
        <v>0</v>
      </c>
      <c r="BD152" s="78"/>
      <c r="BE152" s="78"/>
      <c r="BF152" s="9"/>
      <c r="BG152" s="78"/>
      <c r="BH152" s="15"/>
      <c r="BI152" s="9"/>
      <c r="BJ152" s="73"/>
      <c r="BK152" s="76"/>
      <c r="BL152" s="9"/>
      <c r="BM152" s="74"/>
      <c r="BN152" s="78"/>
      <c r="BO152" s="9"/>
    </row>
    <row r="153" spans="1:67" x14ac:dyDescent="0.45">
      <c r="A153" s="10">
        <v>133</v>
      </c>
      <c r="B153" s="10" t="s">
        <v>1226</v>
      </c>
      <c r="C153" s="64" t="s">
        <v>1889</v>
      </c>
      <c r="D153" s="65"/>
      <c r="E153" s="58" t="s">
        <v>1903</v>
      </c>
      <c r="F153" s="77"/>
      <c r="G153" s="77" t="s">
        <v>1888</v>
      </c>
      <c r="H153" s="10"/>
      <c r="I153" s="62">
        <v>94.045701190000003</v>
      </c>
      <c r="J153" s="62">
        <v>101.94870129</v>
      </c>
      <c r="K153" s="62">
        <v>127.23830161000001</v>
      </c>
      <c r="L153" s="49">
        <v>1071.1214819660865</v>
      </c>
      <c r="M153" s="49">
        <v>1141.7184169796064</v>
      </c>
      <c r="N153" s="49">
        <v>1201.5316867547558</v>
      </c>
      <c r="O153" s="61">
        <v>11.771672844933127</v>
      </c>
      <c r="P153" s="60"/>
      <c r="Q153" s="15" t="s">
        <v>291</v>
      </c>
      <c r="R153" s="9">
        <v>5.5141936571199999</v>
      </c>
      <c r="S153" s="15" t="s">
        <v>127</v>
      </c>
      <c r="T153" s="9">
        <v>7.6427420713999998</v>
      </c>
      <c r="U153" s="15" t="s">
        <v>291</v>
      </c>
      <c r="V153" s="9">
        <v>12.5</v>
      </c>
      <c r="W153" s="64" t="s">
        <v>1567</v>
      </c>
      <c r="X153" s="9">
        <v>51.784678642599999</v>
      </c>
      <c r="Y153" s="64" t="s">
        <v>1567</v>
      </c>
      <c r="Z153" s="9">
        <v>17.856785738827586</v>
      </c>
      <c r="AA153" s="15" t="s">
        <v>291</v>
      </c>
      <c r="AB153" s="15" t="s">
        <v>1567</v>
      </c>
      <c r="AC153" s="9">
        <v>11.500818395391304</v>
      </c>
      <c r="AD153" s="64" t="s">
        <v>127</v>
      </c>
      <c r="AE153" s="64" t="s">
        <v>1567</v>
      </c>
      <c r="AF153" s="9">
        <v>11.392201139189872</v>
      </c>
      <c r="AG153" s="15" t="s">
        <v>127</v>
      </c>
      <c r="AH153" s="15" t="s">
        <v>1480</v>
      </c>
      <c r="AI153" s="9">
        <v>10.450226228343949</v>
      </c>
      <c r="AJ153" s="15" t="s">
        <v>291</v>
      </c>
      <c r="AK153" s="64" t="s">
        <v>1480</v>
      </c>
      <c r="AL153" s="9">
        <v>10.422121725708029</v>
      </c>
      <c r="AM153" s="15" t="s">
        <v>127</v>
      </c>
      <c r="AN153" s="15" t="s">
        <v>120</v>
      </c>
      <c r="AO153" s="9">
        <v>9.3679695878717943</v>
      </c>
      <c r="AP153" s="60"/>
      <c r="AQ153" s="15" t="s">
        <v>291</v>
      </c>
      <c r="AR153" s="9">
        <v>4.6677823464100001</v>
      </c>
      <c r="AS153" s="15" t="s">
        <v>127</v>
      </c>
      <c r="AT153" s="9">
        <v>3.2006694078460001</v>
      </c>
      <c r="AU153" s="64" t="s">
        <v>291</v>
      </c>
      <c r="AV153" s="9">
        <v>3.5</v>
      </c>
      <c r="AW153" s="15" t="s">
        <v>1567</v>
      </c>
      <c r="AX153" s="9">
        <v>67.020082235380002</v>
      </c>
      <c r="AY153" s="64" t="s">
        <v>1480</v>
      </c>
      <c r="AZ153" s="9">
        <v>1.2860968044834287</v>
      </c>
      <c r="BA153" s="64" t="s">
        <v>291</v>
      </c>
      <c r="BB153" s="64" t="s">
        <v>1480</v>
      </c>
      <c r="BC153" s="9">
        <v>6.2138454444518194</v>
      </c>
      <c r="BD153" s="64" t="s">
        <v>291</v>
      </c>
      <c r="BE153" s="64" t="s">
        <v>1567</v>
      </c>
      <c r="BF153" s="9">
        <v>6.2040051683778632</v>
      </c>
      <c r="BG153" s="64" t="s">
        <v>127</v>
      </c>
      <c r="BH153" s="15" t="s">
        <v>1480</v>
      </c>
      <c r="BI153" s="9">
        <v>5.460816367255406</v>
      </c>
      <c r="BJ153" s="15" t="s">
        <v>127</v>
      </c>
      <c r="BK153" s="64" t="s">
        <v>1567</v>
      </c>
      <c r="BL153" s="9">
        <v>5.4399470509173691</v>
      </c>
      <c r="BM153" s="15" t="s">
        <v>291</v>
      </c>
      <c r="BN153" s="64" t="s">
        <v>120</v>
      </c>
      <c r="BO153" s="9">
        <v>4.8873653517178628</v>
      </c>
    </row>
    <row r="154" spans="1:67" x14ac:dyDescent="0.45">
      <c r="A154" s="10">
        <v>134</v>
      </c>
      <c r="B154" s="10" t="s">
        <v>199</v>
      </c>
      <c r="C154" s="288" t="s">
        <v>1993</v>
      </c>
      <c r="D154" s="65"/>
      <c r="E154" s="290" t="s">
        <v>2201</v>
      </c>
      <c r="F154" s="59" t="s">
        <v>2202</v>
      </c>
      <c r="G154" s="242"/>
      <c r="H154" s="10"/>
      <c r="I154" s="62">
        <v>173.86600220000003</v>
      </c>
      <c r="J154" s="62">
        <v>139.09280176000001</v>
      </c>
      <c r="K154" s="62">
        <v>230.76760292</v>
      </c>
      <c r="L154" s="49">
        <v>3114.9739230561377</v>
      </c>
      <c r="M154" s="49">
        <v>3146.2708620979906</v>
      </c>
      <c r="N154" s="49">
        <v>3171.5346649461735</v>
      </c>
      <c r="O154" s="61">
        <v>28.178663227427577</v>
      </c>
      <c r="P154" s="60"/>
      <c r="Q154" s="73" t="s">
        <v>121</v>
      </c>
      <c r="R154" s="9">
        <v>6.2159800660000002</v>
      </c>
      <c r="S154" s="73" t="s">
        <v>121</v>
      </c>
      <c r="T154" s="9">
        <v>12.431960132</v>
      </c>
      <c r="U154" s="73" t="s">
        <v>121</v>
      </c>
      <c r="V154" s="9">
        <v>10</v>
      </c>
      <c r="W154" s="288" t="s">
        <v>197</v>
      </c>
      <c r="X154" s="9">
        <v>136.61548171600001</v>
      </c>
      <c r="Y154" s="288" t="s">
        <v>197</v>
      </c>
      <c r="Z154" s="9">
        <v>41.39863082303031</v>
      </c>
      <c r="AA154" s="73" t="s">
        <v>121</v>
      </c>
      <c r="AB154" s="73" t="s">
        <v>197</v>
      </c>
      <c r="AC154" s="9">
        <v>19.619179175639101</v>
      </c>
      <c r="AD154" s="288" t="s">
        <v>121</v>
      </c>
      <c r="AE154" s="288" t="s">
        <v>306</v>
      </c>
      <c r="AF154" s="9">
        <v>18.07636963694268</v>
      </c>
      <c r="AG154" s="73" t="s">
        <v>121</v>
      </c>
      <c r="AH154" s="15" t="s">
        <v>1567</v>
      </c>
      <c r="AI154" s="9">
        <v>17.898671094936709</v>
      </c>
      <c r="AJ154" s="73" t="s">
        <v>121</v>
      </c>
      <c r="AK154" s="288" t="s">
        <v>238</v>
      </c>
      <c r="AL154" s="9">
        <v>16.607746534634149</v>
      </c>
      <c r="AM154" s="15"/>
      <c r="AN154" s="71"/>
      <c r="AO154" s="9"/>
      <c r="AP154" s="60"/>
      <c r="AQ154" s="73" t="s">
        <v>121</v>
      </c>
      <c r="AR154" s="9">
        <v>5.0684644514800006</v>
      </c>
      <c r="AS154" s="73" t="s">
        <v>121</v>
      </c>
      <c r="AT154" s="9">
        <v>5.0684644514800006</v>
      </c>
      <c r="AU154" s="288" t="s">
        <v>121</v>
      </c>
      <c r="AV154" s="9">
        <v>3</v>
      </c>
      <c r="AW154" s="73" t="s">
        <v>197</v>
      </c>
      <c r="AX154" s="9">
        <v>177.30012623080003</v>
      </c>
      <c r="AY154" s="288" t="s">
        <v>197</v>
      </c>
      <c r="AZ154" s="9">
        <v>2.3640016830773338</v>
      </c>
      <c r="BA154" s="288" t="s">
        <v>121</v>
      </c>
      <c r="BB154" s="288" t="s">
        <v>197</v>
      </c>
      <c r="BC154" s="9">
        <v>11.692759135300001</v>
      </c>
      <c r="BD154" s="288" t="s">
        <v>121</v>
      </c>
      <c r="BE154" s="64" t="s">
        <v>1567</v>
      </c>
      <c r="BF154" s="9">
        <v>10.118972046420692</v>
      </c>
      <c r="BG154" s="288" t="s">
        <v>121</v>
      </c>
      <c r="BH154" s="73" t="s">
        <v>306</v>
      </c>
      <c r="BI154" s="9">
        <v>10.100512588836844</v>
      </c>
      <c r="BJ154" s="73" t="s">
        <v>121</v>
      </c>
      <c r="BK154" s="288" t="s">
        <v>238</v>
      </c>
      <c r="BL154" s="9">
        <v>9.3952441062285725</v>
      </c>
      <c r="BN154" s="78"/>
      <c r="BO154" s="9"/>
    </row>
    <row r="155" spans="1:67" x14ac:dyDescent="0.45">
      <c r="A155" s="10">
        <v>135</v>
      </c>
      <c r="B155" s="10" t="s">
        <v>303</v>
      </c>
      <c r="C155" s="290" t="s">
        <v>1992</v>
      </c>
      <c r="D155" s="65"/>
      <c r="E155" s="80" t="s">
        <v>1892</v>
      </c>
      <c r="F155" s="287" t="s">
        <v>2211</v>
      </c>
      <c r="G155" s="242"/>
      <c r="H155" s="10"/>
      <c r="I155" s="62">
        <v>195.20410247000001</v>
      </c>
      <c r="J155" s="62">
        <v>155.68910197000002</v>
      </c>
      <c r="K155" s="62">
        <v>140.67340178000001</v>
      </c>
      <c r="L155" s="49">
        <v>2888.8436817310503</v>
      </c>
      <c r="M155" s="49">
        <v>2634.1434943225117</v>
      </c>
      <c r="N155" s="49">
        <v>2446.6493925396635</v>
      </c>
      <c r="O155" s="61">
        <v>18.950871438399815</v>
      </c>
      <c r="P155" s="60"/>
      <c r="Q155" s="51" t="s">
        <v>1484</v>
      </c>
      <c r="R155" s="9">
        <v>24.4244922964</v>
      </c>
      <c r="S155" s="51" t="s">
        <v>115</v>
      </c>
      <c r="T155" s="9">
        <v>11.426871790166667</v>
      </c>
      <c r="U155" s="51" t="s">
        <v>115</v>
      </c>
      <c r="V155" s="9">
        <v>13.333</v>
      </c>
      <c r="W155" s="290" t="s">
        <v>222</v>
      </c>
      <c r="X155" s="9">
        <v>118.12246148200001</v>
      </c>
      <c r="Y155" s="290" t="s">
        <v>222</v>
      </c>
      <c r="Z155" s="9">
        <v>49.217692284166674</v>
      </c>
      <c r="AA155" s="51" t="s">
        <v>115</v>
      </c>
      <c r="AB155" s="51" t="s">
        <v>182</v>
      </c>
      <c r="AC155" s="9">
        <v>22.007798143795998</v>
      </c>
      <c r="AD155" s="290" t="s">
        <v>115</v>
      </c>
      <c r="AE155" s="290" t="s">
        <v>302</v>
      </c>
      <c r="AF155" s="9">
        <v>21.139355887743331</v>
      </c>
      <c r="AG155" s="51" t="s">
        <v>115</v>
      </c>
      <c r="AH155" s="51" t="s">
        <v>222</v>
      </c>
      <c r="AI155" s="9">
        <v>20.318829553460787</v>
      </c>
      <c r="AJ155" s="51" t="s">
        <v>1484</v>
      </c>
      <c r="AK155" s="290" t="s">
        <v>182</v>
      </c>
      <c r="AL155" s="9">
        <v>20.217880813859157</v>
      </c>
      <c r="AM155" s="51" t="s">
        <v>115</v>
      </c>
      <c r="AN155" s="15" t="s">
        <v>1567</v>
      </c>
      <c r="AO155" s="9">
        <v>19.803400800695488</v>
      </c>
      <c r="AP155" s="60"/>
      <c r="AQ155" s="51" t="s">
        <v>1484</v>
      </c>
      <c r="AR155" s="9">
        <v>19.271103991192003</v>
      </c>
      <c r="AS155" s="51" t="s">
        <v>1484</v>
      </c>
      <c r="AT155" s="9">
        <v>3.8542207982384005</v>
      </c>
      <c r="AU155" s="290" t="s">
        <v>115</v>
      </c>
      <c r="AV155" s="9">
        <v>4.5</v>
      </c>
      <c r="AW155" s="51" t="s">
        <v>222</v>
      </c>
      <c r="AX155" s="9">
        <v>153.25919992660002</v>
      </c>
      <c r="AY155" s="290" t="s">
        <v>222</v>
      </c>
      <c r="AZ155" s="9">
        <v>2.5543199987766672</v>
      </c>
      <c r="BA155" s="290" t="s">
        <v>115</v>
      </c>
      <c r="BB155" s="290" t="s">
        <v>222</v>
      </c>
      <c r="BC155" s="9">
        <v>13.282165575250234</v>
      </c>
      <c r="BD155" s="290" t="s">
        <v>115</v>
      </c>
      <c r="BE155" s="290" t="s">
        <v>182</v>
      </c>
      <c r="BF155" s="9">
        <v>13.012833607431515</v>
      </c>
      <c r="BG155" s="290" t="s">
        <v>115</v>
      </c>
      <c r="BH155" s="51" t="s">
        <v>302</v>
      </c>
      <c r="BI155" s="9">
        <v>11.618850903752728</v>
      </c>
      <c r="BJ155" s="51" t="s">
        <v>115</v>
      </c>
      <c r="BK155" s="64" t="s">
        <v>1567</v>
      </c>
      <c r="BL155" s="9">
        <v>11.285523356163363</v>
      </c>
      <c r="BM155" s="51" t="s">
        <v>1484</v>
      </c>
      <c r="BN155" s="290" t="s">
        <v>222</v>
      </c>
      <c r="BO155" s="9">
        <v>8.6737362539920007</v>
      </c>
    </row>
    <row r="156" spans="1:67" x14ac:dyDescent="0.45">
      <c r="A156" s="10">
        <v>136</v>
      </c>
      <c r="B156" s="10" t="s">
        <v>37</v>
      </c>
      <c r="C156" s="75" t="s">
        <v>1976</v>
      </c>
      <c r="D156" s="65"/>
      <c r="E156" s="80" t="s">
        <v>2198</v>
      </c>
      <c r="F156" s="289" t="s">
        <v>2199</v>
      </c>
      <c r="G156" s="242"/>
      <c r="H156" s="10"/>
      <c r="I156" s="62">
        <v>206.26830261000001</v>
      </c>
      <c r="J156" s="62">
        <v>153.31820194000002</v>
      </c>
      <c r="K156" s="62">
        <v>140.67340178000001</v>
      </c>
      <c r="L156" s="49">
        <v>3029.2516165874213</v>
      </c>
      <c r="M156" s="49">
        <v>2704.9472564636526</v>
      </c>
      <c r="N156" s="49">
        <v>2470.686052696919</v>
      </c>
      <c r="O156" s="61">
        <v>18.700643920657413</v>
      </c>
      <c r="P156" s="60"/>
      <c r="Q156" s="70" t="s">
        <v>36</v>
      </c>
      <c r="R156" s="9">
        <v>18.326537419240001</v>
      </c>
      <c r="S156" s="70" t="s">
        <v>36</v>
      </c>
      <c r="T156" s="9">
        <v>16.660488562945453</v>
      </c>
      <c r="U156" s="70" t="s">
        <v>138</v>
      </c>
      <c r="V156" s="9">
        <v>10</v>
      </c>
      <c r="W156" s="75" t="s">
        <v>48</v>
      </c>
      <c r="X156" s="9">
        <v>199.01757050559999</v>
      </c>
      <c r="Y156" s="75" t="s">
        <v>48</v>
      </c>
      <c r="Z156" s="9">
        <v>49.754392626399998</v>
      </c>
      <c r="AA156" s="70" t="s">
        <v>36</v>
      </c>
      <c r="AB156" s="70" t="s">
        <v>48</v>
      </c>
      <c r="AC156" s="9">
        <v>25.485529646533333</v>
      </c>
      <c r="AD156" s="75" t="s">
        <v>138</v>
      </c>
      <c r="AE156" s="75" t="s">
        <v>48</v>
      </c>
      <c r="AF156" s="9">
        <v>23.769896576542855</v>
      </c>
      <c r="AG156" s="70" t="s">
        <v>36</v>
      </c>
      <c r="AH156" s="70" t="s">
        <v>19</v>
      </c>
      <c r="AI156" s="9">
        <v>23.521759762157892</v>
      </c>
      <c r="AJ156" s="70" t="s">
        <v>36</v>
      </c>
      <c r="AK156" s="75" t="s">
        <v>76</v>
      </c>
      <c r="AL156" s="9">
        <v>23.281217427584412</v>
      </c>
      <c r="AM156" s="70" t="s">
        <v>36</v>
      </c>
      <c r="AN156" s="15" t="s">
        <v>1567</v>
      </c>
      <c r="AO156" s="9">
        <v>22.07778848460714</v>
      </c>
      <c r="AP156" s="60"/>
      <c r="AQ156" s="70" t="s">
        <v>36</v>
      </c>
      <c r="AR156" s="9">
        <v>15.480034843222001</v>
      </c>
      <c r="AS156" s="70" t="s">
        <v>138</v>
      </c>
      <c r="AT156" s="9">
        <v>5.3266782810739999</v>
      </c>
      <c r="AU156" s="75" t="s">
        <v>36</v>
      </c>
      <c r="AV156" s="9">
        <v>3.3333333333333002</v>
      </c>
      <c r="AW156" s="70" t="s">
        <v>19</v>
      </c>
      <c r="AX156" s="9">
        <v>226.24498645012002</v>
      </c>
      <c r="AY156" s="75" t="s">
        <v>48</v>
      </c>
      <c r="AZ156" s="9">
        <v>3.8210192517552732</v>
      </c>
      <c r="BA156" s="75" t="s">
        <v>36</v>
      </c>
      <c r="BB156" s="75" t="s">
        <v>48</v>
      </c>
      <c r="BC156" s="9">
        <v>16.874071456243485</v>
      </c>
      <c r="BD156" s="75" t="s">
        <v>138</v>
      </c>
      <c r="BE156" s="75" t="s">
        <v>48</v>
      </c>
      <c r="BF156" s="9">
        <v>15.921301413770518</v>
      </c>
      <c r="BG156" s="75" t="s">
        <v>36</v>
      </c>
      <c r="BH156" s="70" t="s">
        <v>19</v>
      </c>
      <c r="BI156" s="9">
        <v>14.003410607835839</v>
      </c>
      <c r="BJ156" s="70" t="s">
        <v>138</v>
      </c>
      <c r="BK156" s="75" t="s">
        <v>19</v>
      </c>
      <c r="BL156" s="9">
        <v>13.311677371521446</v>
      </c>
      <c r="BM156" s="70" t="s">
        <v>36</v>
      </c>
      <c r="BN156" s="75" t="s">
        <v>76</v>
      </c>
      <c r="BO156" s="9">
        <v>13.196602289710913</v>
      </c>
    </row>
    <row r="157" spans="1:67" x14ac:dyDescent="0.45">
      <c r="A157" s="10">
        <v>137</v>
      </c>
      <c r="B157" s="10" t="s">
        <v>1221</v>
      </c>
      <c r="C157" s="64" t="s">
        <v>1889</v>
      </c>
      <c r="D157" s="65"/>
      <c r="E157" s="58" t="s">
        <v>1903</v>
      </c>
      <c r="F157" s="77"/>
      <c r="G157" s="77" t="s">
        <v>1888</v>
      </c>
      <c r="H157" s="10"/>
      <c r="I157" s="62">
        <v>132.77040168000002</v>
      </c>
      <c r="J157" s="62">
        <v>119.33530151000001</v>
      </c>
      <c r="K157" s="62">
        <v>140.67340178000001</v>
      </c>
      <c r="L157" s="49">
        <v>1720.2506530836774</v>
      </c>
      <c r="M157" s="49">
        <v>1706.2976622181905</v>
      </c>
      <c r="N157" s="49">
        <v>1695.2167982662181</v>
      </c>
      <c r="O157" s="61">
        <v>14.997563994638023</v>
      </c>
      <c r="P157" s="60"/>
      <c r="Q157" s="71" t="s">
        <v>2808</v>
      </c>
      <c r="R157" s="9">
        <v>10.957780126000001</v>
      </c>
      <c r="S157" s="15" t="s">
        <v>127</v>
      </c>
      <c r="T157" s="9">
        <v>9.9662241008000017</v>
      </c>
      <c r="U157" s="51" t="s">
        <v>74</v>
      </c>
      <c r="V157" s="9">
        <v>13.635999999999999</v>
      </c>
      <c r="W157" s="79" t="s">
        <v>9</v>
      </c>
      <c r="X157" s="9">
        <v>120.49336151200002</v>
      </c>
      <c r="Y157" s="64" t="s">
        <v>52</v>
      </c>
      <c r="Z157" s="9">
        <v>41.259691932571435</v>
      </c>
      <c r="AA157" s="15" t="s">
        <v>291</v>
      </c>
      <c r="AB157" s="15" t="s">
        <v>112</v>
      </c>
      <c r="AC157" s="9">
        <v>16.459589349016952</v>
      </c>
      <c r="AD157" s="64" t="s">
        <v>127</v>
      </c>
      <c r="AE157" s="64" t="s">
        <v>112</v>
      </c>
      <c r="AF157" s="9">
        <v>15.953304530434783</v>
      </c>
      <c r="AG157" s="15" t="s">
        <v>291</v>
      </c>
      <c r="AH157" s="15" t="s">
        <v>52</v>
      </c>
      <c r="AI157" s="9">
        <v>15.878727313346538</v>
      </c>
      <c r="AJ157" s="15" t="s">
        <v>127</v>
      </c>
      <c r="AK157" s="64" t="s">
        <v>52</v>
      </c>
      <c r="AL157" s="9">
        <v>15.397321823669426</v>
      </c>
      <c r="AM157" s="15" t="s">
        <v>291</v>
      </c>
      <c r="AN157" s="72" t="s">
        <v>9</v>
      </c>
      <c r="AO157" s="9">
        <v>15.056058474294575</v>
      </c>
      <c r="AP157" s="60"/>
      <c r="AQ157" s="71" t="s">
        <v>2808</v>
      </c>
      <c r="AR157" s="9">
        <v>8.7670684982800022</v>
      </c>
      <c r="AS157" s="15" t="s">
        <v>127</v>
      </c>
      <c r="AT157" s="9">
        <v>4.1068273993120004</v>
      </c>
      <c r="AU157" s="290" t="s">
        <v>74</v>
      </c>
      <c r="AV157" s="9">
        <v>3.6666666666666998</v>
      </c>
      <c r="AW157" s="15" t="s">
        <v>112</v>
      </c>
      <c r="AX157" s="9">
        <v>156.34136996560002</v>
      </c>
      <c r="AY157" s="64" t="s">
        <v>112</v>
      </c>
      <c r="AZ157" s="9">
        <v>1.9542671245700003</v>
      </c>
      <c r="BA157" s="64" t="s">
        <v>291</v>
      </c>
      <c r="BB157" s="64" t="s">
        <v>112</v>
      </c>
      <c r="BC157" s="9">
        <v>9.512773910184432</v>
      </c>
      <c r="BD157" s="64" t="s">
        <v>291</v>
      </c>
      <c r="BE157" s="64" t="s">
        <v>52</v>
      </c>
      <c r="BF157" s="9">
        <v>9.4004592361295245</v>
      </c>
      <c r="BG157" s="290" t="s">
        <v>74</v>
      </c>
      <c r="BH157" s="15" t="s">
        <v>112</v>
      </c>
      <c r="BI157" s="9">
        <v>8.5456498565322718</v>
      </c>
      <c r="BJ157" s="51" t="s">
        <v>74</v>
      </c>
      <c r="BK157" s="64" t="s">
        <v>52</v>
      </c>
      <c r="BL157" s="9">
        <v>8.4342702450711311</v>
      </c>
      <c r="BM157" s="15" t="s">
        <v>291</v>
      </c>
      <c r="BN157" s="79" t="s">
        <v>9</v>
      </c>
      <c r="BO157" s="9">
        <v>8.4275547587281459</v>
      </c>
    </row>
    <row r="158" spans="1:67" x14ac:dyDescent="0.45">
      <c r="A158" s="10">
        <v>138</v>
      </c>
      <c r="B158" s="10" t="s">
        <v>1220</v>
      </c>
      <c r="C158" s="56" t="s">
        <v>2136</v>
      </c>
      <c r="D158" s="79" t="s">
        <v>1983</v>
      </c>
      <c r="E158" s="58" t="s">
        <v>2271</v>
      </c>
      <c r="F158" s="64" t="s">
        <v>2272</v>
      </c>
      <c r="G158" s="75" t="s">
        <v>1976</v>
      </c>
      <c r="H158" s="10"/>
      <c r="I158" s="62">
        <v>134.35100170000001</v>
      </c>
      <c r="J158" s="62">
        <v>132.77040168000002</v>
      </c>
      <c r="K158" s="62">
        <v>99.577801260000001</v>
      </c>
      <c r="L158" s="49">
        <v>1544.8019524487897</v>
      </c>
      <c r="M158" s="49">
        <v>1466.6837277201485</v>
      </c>
      <c r="N158" s="49">
        <v>1407.0431133352927</v>
      </c>
      <c r="O158" s="61">
        <v>11.671371932117495</v>
      </c>
      <c r="P158" s="60"/>
      <c r="Q158" s="73" t="s">
        <v>121</v>
      </c>
      <c r="R158" s="9">
        <v>5.0305300510000004</v>
      </c>
      <c r="S158" s="73" t="s">
        <v>121</v>
      </c>
      <c r="T158" s="9">
        <v>10.061060102000001</v>
      </c>
      <c r="U158" s="71" t="s">
        <v>144</v>
      </c>
      <c r="V158" s="9">
        <v>11.667</v>
      </c>
      <c r="W158" s="56" t="s">
        <v>3428</v>
      </c>
      <c r="X158" s="9">
        <v>57.427420714</v>
      </c>
      <c r="Y158" s="288" t="s">
        <v>1568</v>
      </c>
      <c r="Z158" s="9">
        <v>21.463635048695654</v>
      </c>
      <c r="AA158" s="73" t="s">
        <v>121</v>
      </c>
      <c r="AB158" s="52" t="s">
        <v>286</v>
      </c>
      <c r="AC158" s="9">
        <v>13.77463205828221</v>
      </c>
      <c r="AD158" s="288" t="s">
        <v>121</v>
      </c>
      <c r="AE158" s="288" t="s">
        <v>1568</v>
      </c>
      <c r="AF158" s="9">
        <v>13.653652208493151</v>
      </c>
      <c r="AG158" s="73" t="s">
        <v>121</v>
      </c>
      <c r="AH158" s="73" t="s">
        <v>1524</v>
      </c>
      <c r="AI158" s="9">
        <v>13.530886139936309</v>
      </c>
      <c r="AJ158" s="73" t="s">
        <v>121</v>
      </c>
      <c r="AK158" s="56" t="s">
        <v>282</v>
      </c>
      <c r="AL158" s="9">
        <v>13.311846983512195</v>
      </c>
      <c r="AM158" s="73" t="s">
        <v>121</v>
      </c>
      <c r="AN158" s="52" t="s">
        <v>1488</v>
      </c>
      <c r="AO158" s="9">
        <v>13.138136734634148</v>
      </c>
      <c r="AP158" s="60"/>
      <c r="AQ158" s="73" t="s">
        <v>121</v>
      </c>
      <c r="AR158" s="9">
        <v>4.1438134397800006</v>
      </c>
      <c r="AS158" s="73" t="s">
        <v>121</v>
      </c>
      <c r="AT158" s="9">
        <v>4.1438134397800006</v>
      </c>
      <c r="AU158" s="80" t="s">
        <v>144</v>
      </c>
      <c r="AV158" s="9">
        <v>4.5</v>
      </c>
      <c r="AW158" s="52" t="s">
        <v>3427</v>
      </c>
      <c r="AX158" s="9">
        <v>74.355646928200002</v>
      </c>
      <c r="AY158" s="56" t="s">
        <v>282</v>
      </c>
      <c r="AZ158" s="9">
        <v>1.6523477095155557</v>
      </c>
      <c r="BA158" s="288" t="s">
        <v>121</v>
      </c>
      <c r="BB158" s="56" t="s">
        <v>282</v>
      </c>
      <c r="BC158" s="9">
        <v>8.5320530328062514</v>
      </c>
      <c r="BD158" s="80" t="s">
        <v>144</v>
      </c>
      <c r="BE158" s="56" t="s">
        <v>282</v>
      </c>
      <c r="BF158" s="9">
        <v>8.4049881449045465</v>
      </c>
      <c r="BG158" s="288" t="s">
        <v>121</v>
      </c>
      <c r="BH158" s="52" t="s">
        <v>286</v>
      </c>
      <c r="BI158" s="9">
        <v>7.5800746414000013</v>
      </c>
      <c r="BJ158" s="73" t="s">
        <v>121</v>
      </c>
      <c r="BK158" s="288" t="s">
        <v>1568</v>
      </c>
      <c r="BL158" s="9">
        <v>7.5248958184113208</v>
      </c>
      <c r="BM158" s="73" t="s">
        <v>121</v>
      </c>
      <c r="BN158" s="56" t="s">
        <v>1488</v>
      </c>
      <c r="BO158" s="9">
        <v>7.4872340820857142</v>
      </c>
    </row>
    <row r="159" spans="1:67" x14ac:dyDescent="0.45">
      <c r="A159" s="10">
        <v>139</v>
      </c>
      <c r="B159" s="10" t="s">
        <v>287</v>
      </c>
      <c r="C159" s="56" t="s">
        <v>2136</v>
      </c>
      <c r="D159" s="79" t="s">
        <v>1983</v>
      </c>
      <c r="E159" s="58" t="s">
        <v>2271</v>
      </c>
      <c r="F159" s="64" t="s">
        <v>2272</v>
      </c>
      <c r="G159" s="75" t="s">
        <v>1976</v>
      </c>
      <c r="H159" s="10"/>
      <c r="I159" s="62">
        <v>175.44660222000002</v>
      </c>
      <c r="J159" s="62">
        <v>170.70480216000001</v>
      </c>
      <c r="K159" s="62">
        <v>147.78610187000001</v>
      </c>
      <c r="L159" s="49">
        <v>2786.6641349850588</v>
      </c>
      <c r="M159" s="49">
        <v>2695.7701677419941</v>
      </c>
      <c r="N159" s="49">
        <v>2625.1942890167911</v>
      </c>
      <c r="O159" s="61">
        <v>21.549238745044526</v>
      </c>
      <c r="P159" s="60"/>
      <c r="Q159" s="52" t="s">
        <v>41</v>
      </c>
      <c r="R159" s="9">
        <v>13.63215535984</v>
      </c>
      <c r="S159" s="52" t="s">
        <v>41</v>
      </c>
      <c r="T159" s="9">
        <v>15.146839288711112</v>
      </c>
      <c r="U159" s="71" t="s">
        <v>144</v>
      </c>
      <c r="V159" s="9">
        <v>11.667</v>
      </c>
      <c r="W159" s="288" t="s">
        <v>197</v>
      </c>
      <c r="X159" s="9">
        <v>137.8483497316</v>
      </c>
      <c r="Y159" s="288" t="s">
        <v>197</v>
      </c>
      <c r="Z159" s="9">
        <v>41.772227191393938</v>
      </c>
      <c r="AA159" s="52" t="s">
        <v>41</v>
      </c>
      <c r="AB159" s="73" t="s">
        <v>197</v>
      </c>
      <c r="AC159" s="9">
        <v>20.376826198166665</v>
      </c>
      <c r="AD159" s="56" t="s">
        <v>41</v>
      </c>
      <c r="AE159" s="56" t="s">
        <v>40</v>
      </c>
      <c r="AF159" s="9">
        <v>20.001695640863851</v>
      </c>
      <c r="AG159" s="73" t="s">
        <v>121</v>
      </c>
      <c r="AH159" s="73" t="s">
        <v>197</v>
      </c>
      <c r="AI159" s="9">
        <v>19.783181282977441</v>
      </c>
      <c r="AJ159" s="73" t="s">
        <v>121</v>
      </c>
      <c r="AK159" s="56" t="s">
        <v>40</v>
      </c>
      <c r="AL159" s="9">
        <v>19.201084380727277</v>
      </c>
      <c r="AM159" s="52" t="s">
        <v>41</v>
      </c>
      <c r="AN159" s="52" t="s">
        <v>286</v>
      </c>
      <c r="AO159" s="9">
        <v>18.564721327143925</v>
      </c>
      <c r="AP159" s="60"/>
      <c r="AQ159" s="52" t="s">
        <v>41</v>
      </c>
      <c r="AR159" s="9">
        <v>11.947867978528002</v>
      </c>
      <c r="AS159" s="52" t="s">
        <v>41</v>
      </c>
      <c r="AT159" s="9">
        <v>5.9739339892640011</v>
      </c>
      <c r="AU159" s="80" t="s">
        <v>144</v>
      </c>
      <c r="AV159" s="9">
        <v>4.5</v>
      </c>
      <c r="AW159" s="73" t="s">
        <v>197</v>
      </c>
      <c r="AX159" s="9">
        <v>178.90285465108002</v>
      </c>
      <c r="AY159" s="56" t="s">
        <v>40</v>
      </c>
      <c r="AZ159" s="9">
        <v>2.4550817730062224</v>
      </c>
      <c r="BA159" s="80" t="s">
        <v>144</v>
      </c>
      <c r="BB159" s="288" t="s">
        <v>197</v>
      </c>
      <c r="BC159" s="9">
        <v>12.212052500669623</v>
      </c>
      <c r="BD159" s="80" t="s">
        <v>144</v>
      </c>
      <c r="BE159" s="56" t="s">
        <v>40</v>
      </c>
      <c r="BF159" s="9">
        <v>12.053156681975453</v>
      </c>
      <c r="BG159" s="288" t="s">
        <v>121</v>
      </c>
      <c r="BH159" s="73" t="s">
        <v>197</v>
      </c>
      <c r="BI159" s="9">
        <v>11.789966036530002</v>
      </c>
      <c r="BJ159" s="73" t="s">
        <v>121</v>
      </c>
      <c r="BK159" s="56" t="s">
        <v>40</v>
      </c>
      <c r="BL159" s="9">
        <v>11.691277322781252</v>
      </c>
      <c r="BM159" s="52" t="s">
        <v>41</v>
      </c>
      <c r="BN159" s="288" t="s">
        <v>197</v>
      </c>
      <c r="BO159" s="9">
        <v>11.552286268677422</v>
      </c>
    </row>
    <row r="160" spans="1:67" x14ac:dyDescent="0.45">
      <c r="A160" s="10">
        <v>140</v>
      </c>
      <c r="B160" s="10" t="s">
        <v>1217</v>
      </c>
      <c r="C160" s="56" t="s">
        <v>2136</v>
      </c>
      <c r="D160" s="79" t="s">
        <v>1983</v>
      </c>
      <c r="E160" s="58" t="s">
        <v>2271</v>
      </c>
      <c r="F160" s="64" t="s">
        <v>2272</v>
      </c>
      <c r="G160" s="75" t="s">
        <v>1976</v>
      </c>
      <c r="H160" s="10"/>
      <c r="I160" s="62">
        <v>128.81890163</v>
      </c>
      <c r="J160" s="62">
        <v>122.49650155</v>
      </c>
      <c r="K160" s="62">
        <v>92.465101170000011</v>
      </c>
      <c r="L160" s="49">
        <v>1370.9776006113239</v>
      </c>
      <c r="M160" s="49">
        <v>1286.4337273135966</v>
      </c>
      <c r="N160" s="49">
        <v>1222.5681136288079</v>
      </c>
      <c r="O160" s="61">
        <v>10.090589496850457</v>
      </c>
      <c r="P160" s="60"/>
      <c r="Q160" s="15" t="s">
        <v>1489</v>
      </c>
      <c r="R160" s="9">
        <v>4.8645670488999997</v>
      </c>
      <c r="S160" s="15" t="s">
        <v>1489</v>
      </c>
      <c r="T160" s="9">
        <v>9.7291340977999994</v>
      </c>
      <c r="U160" s="71" t="s">
        <v>144</v>
      </c>
      <c r="V160" s="9">
        <v>11.667</v>
      </c>
      <c r="W160" s="56" t="s">
        <v>2395</v>
      </c>
      <c r="X160" s="9">
        <v>55.103938684599996</v>
      </c>
      <c r="Y160" s="56" t="s">
        <v>1488</v>
      </c>
      <c r="Z160" s="9">
        <v>17.219980838937499</v>
      </c>
      <c r="AA160" s="15" t="s">
        <v>1489</v>
      </c>
      <c r="AB160" s="52" t="s">
        <v>282</v>
      </c>
      <c r="AC160" s="9">
        <v>12.475043142447825</v>
      </c>
      <c r="AD160" s="64" t="s">
        <v>1489</v>
      </c>
      <c r="AE160" s="56" t="s">
        <v>1488</v>
      </c>
      <c r="AF160" s="9">
        <v>12.265717121253969</v>
      </c>
      <c r="AG160" s="71" t="s">
        <v>144</v>
      </c>
      <c r="AH160" s="52" t="s">
        <v>282</v>
      </c>
      <c r="AI160" s="9">
        <v>11.829437950948316</v>
      </c>
      <c r="AJ160" s="71" t="s">
        <v>144</v>
      </c>
      <c r="AK160" s="56" t="s">
        <v>1488</v>
      </c>
      <c r="AL160" s="9">
        <v>11.388381637971374</v>
      </c>
      <c r="AM160" s="15" t="s">
        <v>1489</v>
      </c>
      <c r="AN160" s="73" t="s">
        <v>1519</v>
      </c>
      <c r="AO160" s="9">
        <v>11.27869391836453</v>
      </c>
      <c r="AP160" s="60"/>
      <c r="AQ160" s="15" t="s">
        <v>1489</v>
      </c>
      <c r="AR160" s="9">
        <v>4.3492914423800002</v>
      </c>
      <c r="AS160" s="15" t="s">
        <v>1489</v>
      </c>
      <c r="AT160" s="9">
        <v>4.3492914423800002</v>
      </c>
      <c r="AU160" s="80" t="s">
        <v>144</v>
      </c>
      <c r="AV160" s="9">
        <v>4.5</v>
      </c>
      <c r="AW160" s="52" t="s">
        <v>2394</v>
      </c>
      <c r="AX160" s="9">
        <v>71.335120289979997</v>
      </c>
      <c r="AY160" s="56" t="s">
        <v>282</v>
      </c>
      <c r="AZ160" s="9">
        <v>1.5852248953328889</v>
      </c>
      <c r="BA160" s="80" t="s">
        <v>144</v>
      </c>
      <c r="BB160" s="56" t="s">
        <v>282</v>
      </c>
      <c r="BC160" s="9">
        <v>8.0813602908095454</v>
      </c>
      <c r="BD160" s="64" t="s">
        <v>1489</v>
      </c>
      <c r="BE160" s="56" t="s">
        <v>282</v>
      </c>
      <c r="BF160" s="9">
        <v>7.1997522444055315</v>
      </c>
      <c r="BG160" s="80" t="s">
        <v>144</v>
      </c>
      <c r="BH160" s="52" t="s">
        <v>1488</v>
      </c>
      <c r="BI160" s="9">
        <v>6.6103426164102324</v>
      </c>
      <c r="BJ160" s="15" t="s">
        <v>1489</v>
      </c>
      <c r="BK160" s="56" t="s">
        <v>1488</v>
      </c>
      <c r="BL160" s="9">
        <v>6.5101246310122578</v>
      </c>
      <c r="BM160" s="15" t="s">
        <v>1489</v>
      </c>
      <c r="BN160" s="288" t="s">
        <v>1519</v>
      </c>
      <c r="BO160" s="9">
        <v>6.1308294436459576</v>
      </c>
    </row>
    <row r="161" spans="1:67" x14ac:dyDescent="0.45">
      <c r="A161" s="10">
        <v>141</v>
      </c>
      <c r="B161" s="10" t="s">
        <v>283</v>
      </c>
      <c r="C161" s="56" t="s">
        <v>2136</v>
      </c>
      <c r="D161" s="79" t="s">
        <v>1983</v>
      </c>
      <c r="E161" s="58" t="s">
        <v>2271</v>
      </c>
      <c r="F161" s="64" t="s">
        <v>2272</v>
      </c>
      <c r="G161" s="75" t="s">
        <v>1976</v>
      </c>
      <c r="H161" s="10"/>
      <c r="I161" s="62">
        <v>185.72050235</v>
      </c>
      <c r="J161" s="62">
        <v>158.85030201000001</v>
      </c>
      <c r="K161" s="62">
        <v>134.35100170000001</v>
      </c>
      <c r="L161" s="49">
        <v>2713.1532584709453</v>
      </c>
      <c r="M161" s="49">
        <v>2504.5278705859878</v>
      </c>
      <c r="N161" s="49">
        <v>2349.2384634543973</v>
      </c>
      <c r="O161" s="61">
        <v>18.41626753548265</v>
      </c>
      <c r="P161" s="60"/>
      <c r="Q161" s="73" t="s">
        <v>206</v>
      </c>
      <c r="R161" s="9">
        <v>18.8291682256</v>
      </c>
      <c r="S161" s="73" t="s">
        <v>206</v>
      </c>
      <c r="T161" s="9">
        <v>15.690973521333333</v>
      </c>
      <c r="U161" s="69" t="s">
        <v>27</v>
      </c>
      <c r="V161" s="9">
        <v>15</v>
      </c>
      <c r="W161" s="56" t="s">
        <v>87</v>
      </c>
      <c r="X161" s="9">
        <v>112.43230140999999</v>
      </c>
      <c r="Y161" s="56" t="s">
        <v>87</v>
      </c>
      <c r="Z161" s="9">
        <v>48.883609308695654</v>
      </c>
      <c r="AA161" s="73" t="s">
        <v>206</v>
      </c>
      <c r="AB161" s="52" t="s">
        <v>87</v>
      </c>
      <c r="AC161" s="9">
        <v>19.955949069430169</v>
      </c>
      <c r="AD161" s="289" t="s">
        <v>27</v>
      </c>
      <c r="AE161" s="56" t="s">
        <v>87</v>
      </c>
      <c r="AF161" s="9">
        <v>19.427585660357142</v>
      </c>
      <c r="AG161" s="73" t="s">
        <v>206</v>
      </c>
      <c r="AH161" s="52" t="s">
        <v>282</v>
      </c>
      <c r="AI161" s="9">
        <v>18.524409246313727</v>
      </c>
      <c r="AJ161" s="73" t="s">
        <v>206</v>
      </c>
      <c r="AK161" s="288" t="s">
        <v>238</v>
      </c>
      <c r="AL161" s="9">
        <v>18.381767513738321</v>
      </c>
      <c r="AM161" s="69" t="s">
        <v>27</v>
      </c>
      <c r="AN161" s="52" t="s">
        <v>282</v>
      </c>
      <c r="AO161" s="9">
        <v>17.481822828067962</v>
      </c>
      <c r="AP161" s="60"/>
      <c r="AQ161" s="73" t="s">
        <v>206</v>
      </c>
      <c r="AR161" s="9">
        <v>18.383439019960001</v>
      </c>
      <c r="AS161" s="73" t="s">
        <v>206</v>
      </c>
      <c r="AT161" s="9">
        <v>6.1278130066533336</v>
      </c>
      <c r="AU161" s="80" t="s">
        <v>144</v>
      </c>
      <c r="AV161" s="9">
        <v>4.5</v>
      </c>
      <c r="AW161" s="52" t="s">
        <v>87</v>
      </c>
      <c r="AX161" s="9">
        <v>145.86199183300002</v>
      </c>
      <c r="AY161" s="56" t="s">
        <v>87</v>
      </c>
      <c r="AZ161" s="9">
        <v>2.6520362151454551</v>
      </c>
      <c r="BA161" s="80" t="s">
        <v>144</v>
      </c>
      <c r="BB161" s="56" t="s">
        <v>87</v>
      </c>
      <c r="BC161" s="9">
        <v>13.167589624095591</v>
      </c>
      <c r="BD161" s="289" t="s">
        <v>27</v>
      </c>
      <c r="BE161" s="56" t="s">
        <v>87</v>
      </c>
      <c r="BF161" s="9">
        <v>13.071832652750002</v>
      </c>
      <c r="BG161" s="288" t="s">
        <v>206</v>
      </c>
      <c r="BH161" s="52" t="s">
        <v>87</v>
      </c>
      <c r="BI161" s="9">
        <v>12.589509137351447</v>
      </c>
      <c r="BJ161" s="73" t="s">
        <v>206</v>
      </c>
      <c r="BK161" s="56" t="s">
        <v>282</v>
      </c>
      <c r="BL161" s="9">
        <v>11.513859511629372</v>
      </c>
      <c r="BM161" s="69" t="s">
        <v>27</v>
      </c>
      <c r="BN161" s="56" t="s">
        <v>282</v>
      </c>
      <c r="BO161" s="9">
        <v>11.495103489941837</v>
      </c>
    </row>
    <row r="162" spans="1:67" x14ac:dyDescent="0.45">
      <c r="A162" s="10">
        <v>142</v>
      </c>
      <c r="B162" s="10" t="s">
        <v>186</v>
      </c>
      <c r="C162" s="287" t="s">
        <v>2137</v>
      </c>
      <c r="D162" s="65"/>
      <c r="E162" s="56" t="s">
        <v>2273</v>
      </c>
      <c r="F162" s="64" t="s">
        <v>2274</v>
      </c>
      <c r="G162" s="242"/>
      <c r="H162" s="10"/>
      <c r="I162" s="62">
        <v>186.51080236000001</v>
      </c>
      <c r="J162" s="62">
        <v>137.51220174000002</v>
      </c>
      <c r="K162" s="62">
        <v>162.01150205000002</v>
      </c>
      <c r="L162" s="49">
        <v>2783.8609079252606</v>
      </c>
      <c r="M162" s="49">
        <v>2584.6042239247495</v>
      </c>
      <c r="N162" s="49">
        <v>2435.5175508032362</v>
      </c>
      <c r="O162" s="61">
        <v>19.585335717736957</v>
      </c>
      <c r="P162" s="60"/>
      <c r="Q162" s="52" t="s">
        <v>41</v>
      </c>
      <c r="R162" s="9">
        <v>14.42877776992</v>
      </c>
      <c r="S162" s="52" t="s">
        <v>41</v>
      </c>
      <c r="T162" s="9">
        <v>16.03197529991111</v>
      </c>
      <c r="U162" s="67" t="s">
        <v>66</v>
      </c>
      <c r="V162" s="9">
        <v>8</v>
      </c>
      <c r="W162" s="64" t="s">
        <v>112</v>
      </c>
      <c r="X162" s="9">
        <v>140.88310177</v>
      </c>
      <c r="Y162" s="64" t="s">
        <v>112</v>
      </c>
      <c r="Z162" s="9">
        <v>37.074500465789477</v>
      </c>
      <c r="AA162" s="52" t="s">
        <v>41</v>
      </c>
      <c r="AB162" s="52" t="s">
        <v>40</v>
      </c>
      <c r="AC162" s="9">
        <v>21.206810397896714</v>
      </c>
      <c r="AD162" s="56" t="s">
        <v>41</v>
      </c>
      <c r="AE162" s="64" t="s">
        <v>112</v>
      </c>
      <c r="AF162" s="9">
        <v>20.654032850797687</v>
      </c>
      <c r="AG162" s="53" t="s">
        <v>185</v>
      </c>
      <c r="AH162" s="52" t="s">
        <v>40</v>
      </c>
      <c r="AI162" s="9">
        <v>19.680708492647685</v>
      </c>
      <c r="AJ162" s="52" t="s">
        <v>41</v>
      </c>
      <c r="AK162" s="80" t="s">
        <v>153</v>
      </c>
      <c r="AL162" s="9">
        <v>19.675593970883192</v>
      </c>
      <c r="AM162" s="67" t="s">
        <v>66</v>
      </c>
      <c r="AN162" s="52" t="s">
        <v>40</v>
      </c>
      <c r="AO162" s="9">
        <v>19.325892292491623</v>
      </c>
      <c r="AP162" s="60"/>
      <c r="AQ162" s="52" t="s">
        <v>41</v>
      </c>
      <c r="AR162" s="9">
        <v>12.638274067264001</v>
      </c>
      <c r="AS162" s="52" t="s">
        <v>41</v>
      </c>
      <c r="AT162" s="9">
        <v>6.3191370336320007</v>
      </c>
      <c r="AU162" s="56" t="s">
        <v>2470</v>
      </c>
      <c r="AV162" s="9">
        <v>2.5</v>
      </c>
      <c r="AW162" s="15" t="s">
        <v>112</v>
      </c>
      <c r="AX162" s="9">
        <v>182.84803230100002</v>
      </c>
      <c r="AY162" s="56" t="s">
        <v>40</v>
      </c>
      <c r="AZ162" s="9">
        <v>2.6085053482808891</v>
      </c>
      <c r="BA162" s="56" t="s">
        <v>41</v>
      </c>
      <c r="BB162" s="56" t="s">
        <v>40</v>
      </c>
      <c r="BC162" s="9">
        <v>12.164589856737685</v>
      </c>
      <c r="BD162" s="56" t="s">
        <v>41</v>
      </c>
      <c r="BE162" s="64" t="s">
        <v>112</v>
      </c>
      <c r="BF162" s="9">
        <v>11.668497496279516</v>
      </c>
      <c r="BG162" s="56" t="s">
        <v>41</v>
      </c>
      <c r="BH162" s="52" t="s">
        <v>282</v>
      </c>
      <c r="BI162" s="9">
        <v>11.39891393125979</v>
      </c>
      <c r="BJ162" s="52" t="s">
        <v>41</v>
      </c>
      <c r="BK162" s="80" t="s">
        <v>153</v>
      </c>
      <c r="BL162" s="9">
        <v>10.831731918282784</v>
      </c>
      <c r="BM162" s="53" t="s">
        <v>185</v>
      </c>
      <c r="BN162" s="56" t="s">
        <v>40</v>
      </c>
      <c r="BO162" s="9">
        <v>10.671521802055789</v>
      </c>
    </row>
    <row r="163" spans="1:67" x14ac:dyDescent="0.45">
      <c r="A163" s="10">
        <v>143</v>
      </c>
      <c r="B163" s="10" t="s">
        <v>274</v>
      </c>
      <c r="C163" s="64" t="s">
        <v>1889</v>
      </c>
      <c r="D163" s="65"/>
      <c r="E163" s="58" t="s">
        <v>1903</v>
      </c>
      <c r="F163" s="77"/>
      <c r="G163" s="77" t="s">
        <v>1888</v>
      </c>
      <c r="H163" s="10"/>
      <c r="I163" s="62">
        <v>162.01150205000002</v>
      </c>
      <c r="J163" s="62">
        <v>145.41520184000001</v>
      </c>
      <c r="K163" s="62">
        <v>272.65350345000002</v>
      </c>
      <c r="L163" s="49">
        <v>3225.9400696830148</v>
      </c>
      <c r="M163" s="49">
        <v>3455.5020978050998</v>
      </c>
      <c r="N163" s="49">
        <v>3650.858944450094</v>
      </c>
      <c r="O163" s="61">
        <v>34.614491035979114</v>
      </c>
      <c r="P163" s="60"/>
      <c r="Q163" s="57" t="s">
        <v>95</v>
      </c>
      <c r="R163" s="9">
        <v>10.720690123000001</v>
      </c>
      <c r="S163" s="68" t="s">
        <v>273</v>
      </c>
      <c r="T163" s="9">
        <v>10.100575102500001</v>
      </c>
      <c r="U163" s="68" t="s">
        <v>273</v>
      </c>
      <c r="V163" s="9">
        <v>12</v>
      </c>
      <c r="W163" s="64" t="s">
        <v>112</v>
      </c>
      <c r="X163" s="9">
        <v>146.81035184500001</v>
      </c>
      <c r="Y163" s="64" t="s">
        <v>52</v>
      </c>
      <c r="Z163" s="9">
        <v>50.032022043571438</v>
      </c>
      <c r="AA163" s="68" t="s">
        <v>273</v>
      </c>
      <c r="AB163" s="15" t="s">
        <v>112</v>
      </c>
      <c r="AC163" s="9">
        <v>18.915873188313011</v>
      </c>
      <c r="AD163" s="77" t="s">
        <v>273</v>
      </c>
      <c r="AE163" s="64" t="s">
        <v>142</v>
      </c>
      <c r="AF163" s="9">
        <v>18.381367238814658</v>
      </c>
      <c r="AG163" s="68" t="s">
        <v>273</v>
      </c>
      <c r="AH163" s="15" t="s">
        <v>52</v>
      </c>
      <c r="AI163" s="9">
        <v>18.137895093833869</v>
      </c>
      <c r="AJ163" s="57" t="s">
        <v>95</v>
      </c>
      <c r="AK163" s="64" t="s">
        <v>112</v>
      </c>
      <c r="AL163" s="9">
        <v>17.163327910472972</v>
      </c>
      <c r="AM163" s="57" t="s">
        <v>95</v>
      </c>
      <c r="AN163" s="15" t="s">
        <v>142</v>
      </c>
      <c r="AO163" s="9">
        <v>16.636586725460994</v>
      </c>
      <c r="AP163" s="60"/>
      <c r="AQ163" s="57" t="s">
        <v>95</v>
      </c>
      <c r="AR163" s="9">
        <v>9.4245981066000013</v>
      </c>
      <c r="AS163" s="68" t="s">
        <v>273</v>
      </c>
      <c r="AT163" s="9">
        <v>4.1592242899750005</v>
      </c>
      <c r="AU163" s="77" t="s">
        <v>3460</v>
      </c>
      <c r="AV163" s="9">
        <v>3</v>
      </c>
      <c r="AW163" s="15" t="s">
        <v>112</v>
      </c>
      <c r="AX163" s="9">
        <v>190.55345739850003</v>
      </c>
      <c r="AY163" s="64" t="s">
        <v>112</v>
      </c>
      <c r="AZ163" s="9">
        <v>2.3819182174812505</v>
      </c>
      <c r="BA163" s="77" t="s">
        <v>273</v>
      </c>
      <c r="BB163" s="64" t="s">
        <v>112</v>
      </c>
      <c r="BC163" s="9">
        <v>10.896365245704821</v>
      </c>
      <c r="BD163" s="77" t="s">
        <v>273</v>
      </c>
      <c r="BE163" s="64" t="s">
        <v>52</v>
      </c>
      <c r="BF163" s="9">
        <v>10.780612185402058</v>
      </c>
      <c r="BG163" s="77" t="s">
        <v>273</v>
      </c>
      <c r="BH163" s="15" t="s">
        <v>142</v>
      </c>
      <c r="BI163" s="9">
        <v>10.3561642433875</v>
      </c>
      <c r="BJ163" s="68" t="s">
        <v>273</v>
      </c>
      <c r="BK163" s="58" t="s">
        <v>1774</v>
      </c>
      <c r="BL163" s="9">
        <v>10.183791540625</v>
      </c>
      <c r="BM163" s="68" t="s">
        <v>273</v>
      </c>
      <c r="BN163" s="64" t="s">
        <v>1480</v>
      </c>
      <c r="BO163" s="9">
        <v>9.8957105007190798</v>
      </c>
    </row>
    <row r="164" spans="1:67" x14ac:dyDescent="0.45">
      <c r="A164" s="10">
        <v>144</v>
      </c>
      <c r="B164" s="10" t="s">
        <v>1210</v>
      </c>
      <c r="C164" s="287" t="s">
        <v>2138</v>
      </c>
      <c r="D164" s="56" t="s">
        <v>2025</v>
      </c>
      <c r="E164" s="59" t="s">
        <v>2275</v>
      </c>
      <c r="F164" s="289" t="s">
        <v>2118</v>
      </c>
      <c r="G164" s="80" t="s">
        <v>1892</v>
      </c>
      <c r="H164" s="10"/>
      <c r="I164" s="62">
        <v>163.59210207000001</v>
      </c>
      <c r="J164" s="62">
        <v>198.36530251000002</v>
      </c>
      <c r="K164" s="62">
        <v>175.44660222000002</v>
      </c>
      <c r="L164" s="49">
        <v>3051.881511859352</v>
      </c>
      <c r="M164" s="49">
        <v>3188.467557798283</v>
      </c>
      <c r="N164" s="49">
        <v>3302.1247004024472</v>
      </c>
      <c r="O164" s="61">
        <v>29.041660544432798</v>
      </c>
      <c r="P164" s="60"/>
      <c r="Q164" s="74" t="s">
        <v>241</v>
      </c>
      <c r="R164" s="9">
        <v>12.778631349039999</v>
      </c>
      <c r="S164" s="74" t="s">
        <v>109</v>
      </c>
      <c r="T164" s="9">
        <v>12.01725124911111</v>
      </c>
      <c r="U164" s="74" t="s">
        <v>241</v>
      </c>
      <c r="V164" s="9">
        <v>10</v>
      </c>
      <c r="W164" s="291" t="s">
        <v>132</v>
      </c>
      <c r="X164" s="9">
        <v>128.60183961460001</v>
      </c>
      <c r="Y164" s="64" t="s">
        <v>52</v>
      </c>
      <c r="Z164" s="9">
        <v>42.326596946071433</v>
      </c>
      <c r="AA164" s="74" t="s">
        <v>109</v>
      </c>
      <c r="AB164" s="74" t="s">
        <v>132</v>
      </c>
      <c r="AC164" s="9">
        <v>18.189437785756756</v>
      </c>
      <c r="AD164" s="291" t="s">
        <v>109</v>
      </c>
      <c r="AE164" s="291" t="s">
        <v>189</v>
      </c>
      <c r="AF164" s="9">
        <v>17.583952201014004</v>
      </c>
      <c r="AG164" s="74" t="s">
        <v>241</v>
      </c>
      <c r="AH164" s="74" t="s">
        <v>132</v>
      </c>
      <c r="AI164" s="9">
        <v>17.525864874529496</v>
      </c>
      <c r="AJ164" s="74" t="s">
        <v>109</v>
      </c>
      <c r="AK164" s="287" t="s">
        <v>1530</v>
      </c>
      <c r="AL164" s="9">
        <v>17.331432429222222</v>
      </c>
      <c r="AM164" s="74" t="s">
        <v>241</v>
      </c>
      <c r="AN164" s="74" t="s">
        <v>189</v>
      </c>
      <c r="AO164" s="9">
        <v>17.178799084995983</v>
      </c>
      <c r="AP164" s="60"/>
      <c r="AQ164" s="74" t="s">
        <v>241</v>
      </c>
      <c r="AR164" s="9">
        <v>12.484165565314001</v>
      </c>
      <c r="AS164" s="74" t="s">
        <v>109</v>
      </c>
      <c r="AT164" s="9">
        <v>4.9660643865110004</v>
      </c>
      <c r="AU164" s="291" t="s">
        <v>241</v>
      </c>
      <c r="AV164" s="9">
        <v>3.3333333333333002</v>
      </c>
      <c r="AW164" s="74" t="s">
        <v>132</v>
      </c>
      <c r="AX164" s="9">
        <v>166.88239149898001</v>
      </c>
      <c r="AY164" s="291" t="s">
        <v>132</v>
      </c>
      <c r="AZ164" s="9">
        <v>2.2250985533197336</v>
      </c>
      <c r="BA164" s="291" t="s">
        <v>241</v>
      </c>
      <c r="BB164" s="291" t="s">
        <v>132</v>
      </c>
      <c r="BC164" s="9">
        <v>11.085686520801492</v>
      </c>
      <c r="BD164" s="291" t="s">
        <v>241</v>
      </c>
      <c r="BE164" s="287" t="s">
        <v>1530</v>
      </c>
      <c r="BF164" s="9">
        <v>10.854102426858587</v>
      </c>
      <c r="BG164" s="291" t="s">
        <v>241</v>
      </c>
      <c r="BH164" s="74" t="s">
        <v>189</v>
      </c>
      <c r="BI164" s="9">
        <v>10.543118072135258</v>
      </c>
      <c r="BJ164" s="74" t="s">
        <v>241</v>
      </c>
      <c r="BK164" s="64" t="s">
        <v>52</v>
      </c>
      <c r="BL164" s="9">
        <v>10.301112963924909</v>
      </c>
      <c r="BM164" s="74" t="s">
        <v>109</v>
      </c>
      <c r="BN164" s="291" t="s">
        <v>132</v>
      </c>
      <c r="BO164" s="9">
        <v>10.189171712719677</v>
      </c>
    </row>
    <row r="165" spans="1:67" x14ac:dyDescent="0.45">
      <c r="A165" s="10">
        <v>145</v>
      </c>
      <c r="B165" s="10" t="s">
        <v>147</v>
      </c>
      <c r="C165" s="287" t="s">
        <v>2139</v>
      </c>
      <c r="D165" s="65"/>
      <c r="E165" s="56" t="s">
        <v>2276</v>
      </c>
      <c r="F165" s="58" t="s">
        <v>2277</v>
      </c>
      <c r="G165" s="242"/>
      <c r="H165" s="10"/>
      <c r="I165" s="62">
        <v>211.80040268000002</v>
      </c>
      <c r="J165" s="62">
        <v>158.060002</v>
      </c>
      <c r="K165" s="62">
        <v>175.44660222000002</v>
      </c>
      <c r="L165" s="49">
        <v>3527.0389356685218</v>
      </c>
      <c r="M165" s="49">
        <v>3255.3359748345015</v>
      </c>
      <c r="N165" s="49">
        <v>3053.1227726845541</v>
      </c>
      <c r="O165" s="61">
        <v>23.946160172956571</v>
      </c>
      <c r="P165" s="60"/>
      <c r="Q165" s="51" t="s">
        <v>74</v>
      </c>
      <c r="R165" s="9">
        <v>11.16641932864</v>
      </c>
      <c r="S165" s="51" t="s">
        <v>115</v>
      </c>
      <c r="T165" s="9">
        <v>12.256686800666667</v>
      </c>
      <c r="U165" s="51" t="s">
        <v>74</v>
      </c>
      <c r="V165" s="9">
        <v>13.635999999999999</v>
      </c>
      <c r="W165" s="290" t="s">
        <v>1483</v>
      </c>
      <c r="X165" s="9">
        <v>178.9123382512</v>
      </c>
      <c r="Y165" s="64" t="s">
        <v>52</v>
      </c>
      <c r="Z165" s="9">
        <v>54.378672098571442</v>
      </c>
      <c r="AA165" s="51" t="s">
        <v>115</v>
      </c>
      <c r="AB165" s="51" t="s">
        <v>1483</v>
      </c>
      <c r="AC165" s="9">
        <v>23.870825677947828</v>
      </c>
      <c r="AD165" s="290" t="s">
        <v>115</v>
      </c>
      <c r="AE165" s="290" t="s">
        <v>182</v>
      </c>
      <c r="AF165" s="9">
        <v>23.780283006224003</v>
      </c>
      <c r="AG165" s="51" t="s">
        <v>74</v>
      </c>
      <c r="AH165" s="51" t="s">
        <v>182</v>
      </c>
      <c r="AI165" s="9">
        <v>22.684149899762161</v>
      </c>
      <c r="AJ165" s="51" t="s">
        <v>74</v>
      </c>
      <c r="AK165" s="290" t="s">
        <v>1483</v>
      </c>
      <c r="AL165" s="9">
        <v>22.550638030849122</v>
      </c>
      <c r="AM165" s="51" t="s">
        <v>115</v>
      </c>
      <c r="AN165" s="16" t="s">
        <v>146</v>
      </c>
      <c r="AO165" s="9">
        <v>22.477054576347225</v>
      </c>
      <c r="AP165" s="60"/>
      <c r="AQ165" s="51" t="s">
        <v>74</v>
      </c>
      <c r="AR165" s="9">
        <v>9.2602157045200002</v>
      </c>
      <c r="AS165" s="51" t="s">
        <v>74</v>
      </c>
      <c r="AT165" s="9">
        <v>3.0867385681733333</v>
      </c>
      <c r="AU165" s="290" t="s">
        <v>115</v>
      </c>
      <c r="AV165" s="9">
        <v>4.5</v>
      </c>
      <c r="AW165" s="51" t="s">
        <v>1483</v>
      </c>
      <c r="AX165" s="9">
        <v>248.80647113560002</v>
      </c>
      <c r="AY165" s="290" t="s">
        <v>1483</v>
      </c>
      <c r="AZ165" s="9">
        <v>3.1100808891950003</v>
      </c>
      <c r="BA165" s="290" t="s">
        <v>115</v>
      </c>
      <c r="BB165" s="290" t="s">
        <v>1483</v>
      </c>
      <c r="BC165" s="9">
        <v>16.069518307913373</v>
      </c>
      <c r="BD165" s="290" t="s">
        <v>115</v>
      </c>
      <c r="BE165" s="290" t="s">
        <v>222</v>
      </c>
      <c r="BF165" s="9">
        <v>14.365942575010234</v>
      </c>
      <c r="BG165" s="290" t="s">
        <v>115</v>
      </c>
      <c r="BH165" s="51" t="s">
        <v>182</v>
      </c>
      <c r="BI165" s="9">
        <v>14.073462709087396</v>
      </c>
      <c r="BJ165" s="51" t="s">
        <v>74</v>
      </c>
      <c r="BK165" s="290" t="s">
        <v>1483</v>
      </c>
      <c r="BL165" s="9">
        <v>13.85533242570996</v>
      </c>
      <c r="BM165" s="51" t="s">
        <v>115</v>
      </c>
      <c r="BN165" s="64" t="s">
        <v>52</v>
      </c>
      <c r="BO165" s="9">
        <v>13.668933704504967</v>
      </c>
    </row>
    <row r="166" spans="1:67" x14ac:dyDescent="0.45">
      <c r="A166" s="10">
        <v>146</v>
      </c>
      <c r="B166" s="10" t="s">
        <v>141</v>
      </c>
      <c r="C166" s="287" t="s">
        <v>2107</v>
      </c>
      <c r="D166" s="56" t="s">
        <v>2025</v>
      </c>
      <c r="E166" s="288" t="s">
        <v>2141</v>
      </c>
      <c r="F166" s="58" t="s">
        <v>2200</v>
      </c>
      <c r="G166" s="289" t="s">
        <v>2118</v>
      </c>
      <c r="H166" s="10"/>
      <c r="I166" s="62">
        <v>210.21980266000003</v>
      </c>
      <c r="J166" s="62">
        <v>154.89880196000001</v>
      </c>
      <c r="K166" s="62">
        <v>175.44660222000002</v>
      </c>
      <c r="L166" s="49">
        <v>3465.5337636488084</v>
      </c>
      <c r="M166" s="49">
        <v>3195.7865392806975</v>
      </c>
      <c r="N166" s="49">
        <v>2995.1864763491858</v>
      </c>
      <c r="O166" s="61">
        <v>23.531471714845487</v>
      </c>
      <c r="P166" s="60"/>
      <c r="Q166" s="70" t="s">
        <v>36</v>
      </c>
      <c r="R166" s="9">
        <v>18.658463423440001</v>
      </c>
      <c r="S166" s="70" t="s">
        <v>36</v>
      </c>
      <c r="T166" s="9">
        <v>16.962239475854545</v>
      </c>
      <c r="U166" s="16" t="s">
        <v>1505</v>
      </c>
      <c r="V166" s="9">
        <v>11.25</v>
      </c>
      <c r="W166" s="75" t="s">
        <v>48</v>
      </c>
      <c r="X166" s="9">
        <v>202.81101055360003</v>
      </c>
      <c r="Y166" s="64" t="s">
        <v>52</v>
      </c>
      <c r="Z166" s="9">
        <v>53.983522093571437</v>
      </c>
      <c r="AA166" s="70" t="s">
        <v>36</v>
      </c>
      <c r="AB166" s="16" t="s">
        <v>229</v>
      </c>
      <c r="AC166" s="9">
        <v>26.026376319200001</v>
      </c>
      <c r="AD166" s="75" t="s">
        <v>36</v>
      </c>
      <c r="AE166" s="75" t="s">
        <v>48</v>
      </c>
      <c r="AF166" s="9">
        <v>25.959709652533334</v>
      </c>
      <c r="AG166" s="16" t="s">
        <v>1505</v>
      </c>
      <c r="AH166" s="16" t="s">
        <v>229</v>
      </c>
      <c r="AI166" s="9">
        <v>25.373742653020692</v>
      </c>
      <c r="AJ166" s="16" t="s">
        <v>1505</v>
      </c>
      <c r="AK166" s="75" t="s">
        <v>48</v>
      </c>
      <c r="AL166" s="9">
        <v>24.69835418277647</v>
      </c>
      <c r="AM166" s="70" t="s">
        <v>36</v>
      </c>
      <c r="AN166" s="70" t="s">
        <v>19</v>
      </c>
      <c r="AO166" s="9">
        <v>23.958504504526317</v>
      </c>
      <c r="AP166" s="60"/>
      <c r="AQ166" s="70" t="s">
        <v>36</v>
      </c>
      <c r="AR166" s="9">
        <v>15.757430146732002</v>
      </c>
      <c r="AS166" s="70" t="s">
        <v>36</v>
      </c>
      <c r="AT166" s="9">
        <v>5.252476715577334</v>
      </c>
      <c r="AU166" s="287" t="s">
        <v>1505</v>
      </c>
      <c r="AV166" s="9">
        <v>3.5</v>
      </c>
      <c r="AW166" s="70" t="s">
        <v>19</v>
      </c>
      <c r="AX166" s="9">
        <v>230.56002450472005</v>
      </c>
      <c r="AY166" s="75" t="s">
        <v>48</v>
      </c>
      <c r="AZ166" s="9">
        <v>3.8938705435861825</v>
      </c>
      <c r="BA166" s="75" t="s">
        <v>36</v>
      </c>
      <c r="BB166" s="75" t="s">
        <v>48</v>
      </c>
      <c r="BC166" s="9">
        <v>17.190214040243774</v>
      </c>
      <c r="BD166" s="287" t="s">
        <v>1505</v>
      </c>
      <c r="BE166" s="75" t="s">
        <v>48</v>
      </c>
      <c r="BF166" s="9">
        <v>17.137278940054529</v>
      </c>
      <c r="BG166" s="75" t="s">
        <v>36</v>
      </c>
      <c r="BH166" s="70" t="s">
        <v>19</v>
      </c>
      <c r="BI166" s="9">
        <v>14.264778627143041</v>
      </c>
      <c r="BJ166" s="16" t="s">
        <v>1505</v>
      </c>
      <c r="BK166" s="75" t="s">
        <v>19</v>
      </c>
      <c r="BL166" s="9">
        <v>14.070694346300842</v>
      </c>
      <c r="BM166" s="70" t="s">
        <v>36</v>
      </c>
      <c r="BN166" s="287" t="s">
        <v>229</v>
      </c>
      <c r="BO166" s="9">
        <v>14.005902932423036</v>
      </c>
    </row>
    <row r="167" spans="1:67" x14ac:dyDescent="0.45">
      <c r="A167" s="10">
        <v>147</v>
      </c>
      <c r="B167" s="10" t="s">
        <v>1208</v>
      </c>
      <c r="C167" s="78" t="s">
        <v>1893</v>
      </c>
      <c r="D167" s="65"/>
      <c r="E167" s="291" t="s">
        <v>2278</v>
      </c>
      <c r="F167" s="75" t="s">
        <v>2279</v>
      </c>
      <c r="G167" s="242"/>
      <c r="H167" s="10"/>
      <c r="I167" s="62">
        <v>105.90020134000001</v>
      </c>
      <c r="J167" s="62">
        <v>83.771801060000001</v>
      </c>
      <c r="K167" s="62">
        <v>107.48080136</v>
      </c>
      <c r="L167" s="49">
        <v>1004.8729601030379</v>
      </c>
      <c r="M167" s="49">
        <v>968.76183881299369</v>
      </c>
      <c r="N167" s="49">
        <v>940.80954115735835</v>
      </c>
      <c r="O167" s="61">
        <v>8.3078931381061327</v>
      </c>
      <c r="P167" s="60"/>
      <c r="Q167" s="53" t="s">
        <v>1</v>
      </c>
      <c r="R167" s="9">
        <v>8.9425151005000014</v>
      </c>
      <c r="S167" s="66" t="s">
        <v>254</v>
      </c>
      <c r="T167" s="9">
        <v>9.6248144964800009</v>
      </c>
      <c r="U167" s="66" t="s">
        <v>254</v>
      </c>
      <c r="V167" s="9">
        <v>8</v>
      </c>
      <c r="W167" s="64" t="s">
        <v>1495</v>
      </c>
      <c r="X167" s="9">
        <v>32.770060402000006</v>
      </c>
      <c r="Y167" s="64" t="s">
        <v>52</v>
      </c>
      <c r="Z167" s="9">
        <v>27.903621763571433</v>
      </c>
      <c r="AA167" s="66" t="s">
        <v>254</v>
      </c>
      <c r="AB167" s="15" t="s">
        <v>52</v>
      </c>
      <c r="AC167" s="9">
        <v>12.253958007500001</v>
      </c>
      <c r="AD167" s="78" t="s">
        <v>254</v>
      </c>
      <c r="AE167" s="288" t="s">
        <v>306</v>
      </c>
      <c r="AF167" s="9">
        <v>11.139303967637366</v>
      </c>
      <c r="AG167" s="53" t="s">
        <v>1</v>
      </c>
      <c r="AH167" s="15" t="s">
        <v>52</v>
      </c>
      <c r="AI167" s="9">
        <v>10.460583399955896</v>
      </c>
      <c r="AJ167" s="66" t="s">
        <v>254</v>
      </c>
      <c r="AK167" s="64" t="s">
        <v>1495</v>
      </c>
      <c r="AL167" s="9">
        <v>10.312281245849057</v>
      </c>
      <c r="AM167" s="66" t="s">
        <v>254</v>
      </c>
      <c r="AN167" s="66" t="s">
        <v>1514</v>
      </c>
      <c r="AO167" s="9">
        <v>10.00427484647847</v>
      </c>
      <c r="AP167" s="60"/>
      <c r="AQ167" s="53" t="s">
        <v>1</v>
      </c>
      <c r="AR167" s="9">
        <v>7.195161778390001</v>
      </c>
      <c r="AS167" s="66" t="s">
        <v>254</v>
      </c>
      <c r="AT167" s="9">
        <v>4.3040862818080008</v>
      </c>
      <c r="AU167" s="78" t="s">
        <v>254</v>
      </c>
      <c r="AV167" s="9">
        <v>3</v>
      </c>
      <c r="AW167" s="15" t="s">
        <v>52</v>
      </c>
      <c r="AX167" s="9">
        <v>90.485670132300015</v>
      </c>
      <c r="AY167" s="64" t="s">
        <v>52</v>
      </c>
      <c r="AZ167" s="9">
        <v>1.2926524304614289</v>
      </c>
      <c r="BA167" s="78" t="s">
        <v>254</v>
      </c>
      <c r="BB167" s="64" t="s">
        <v>52</v>
      </c>
      <c r="BC167" s="9">
        <v>7.8457952071706867</v>
      </c>
      <c r="BD167" s="78" t="s">
        <v>254</v>
      </c>
      <c r="BE167" s="288" t="s">
        <v>306</v>
      </c>
      <c r="BF167" s="9">
        <v>6.7604135834152643</v>
      </c>
      <c r="BG167" s="78" t="s">
        <v>254</v>
      </c>
      <c r="BH167" s="15" t="s">
        <v>1495</v>
      </c>
      <c r="BI167" s="9">
        <v>6.6788982968575015</v>
      </c>
      <c r="BJ167" s="66" t="s">
        <v>254</v>
      </c>
      <c r="BK167" s="78" t="s">
        <v>1514</v>
      </c>
      <c r="BL167" s="9">
        <v>6.4207665560912508</v>
      </c>
      <c r="BM167" s="53" t="s">
        <v>1</v>
      </c>
      <c r="BN167" s="64" t="s">
        <v>52</v>
      </c>
      <c r="BO167" s="9">
        <v>4.8452562281532412</v>
      </c>
    </row>
    <row r="168" spans="1:67" x14ac:dyDescent="0.45">
      <c r="A168" s="10">
        <v>148</v>
      </c>
      <c r="B168" s="10" t="s">
        <v>1207</v>
      </c>
      <c r="C168" s="78" t="s">
        <v>1893</v>
      </c>
      <c r="D168" s="65"/>
      <c r="E168" s="291" t="s">
        <v>2278</v>
      </c>
      <c r="F168" s="75" t="s">
        <v>2279</v>
      </c>
      <c r="G168" s="242"/>
      <c r="H168" s="10"/>
      <c r="I168" s="62">
        <v>140.67340178000001</v>
      </c>
      <c r="J168" s="62">
        <v>118.54500150000001</v>
      </c>
      <c r="K168" s="62">
        <v>135.14130171000002</v>
      </c>
      <c r="L168" s="49">
        <v>1780.5233027028007</v>
      </c>
      <c r="M168" s="49">
        <v>1718.9195698399392</v>
      </c>
      <c r="N168" s="49">
        <v>1671.1747736336172</v>
      </c>
      <c r="O168" s="61">
        <v>14.322468736117193</v>
      </c>
      <c r="P168" s="60"/>
      <c r="Q168" s="53" t="s">
        <v>1</v>
      </c>
      <c r="R168" s="9">
        <v>11.5505051335</v>
      </c>
      <c r="S168" s="66" t="s">
        <v>254</v>
      </c>
      <c r="T168" s="9">
        <v>12.128484928160001</v>
      </c>
      <c r="U168" s="66" t="s">
        <v>254</v>
      </c>
      <c r="V168" s="9">
        <v>8</v>
      </c>
      <c r="W168" s="78" t="s">
        <v>253</v>
      </c>
      <c r="X168" s="9">
        <v>76.963636961199995</v>
      </c>
      <c r="Y168" s="64" t="s">
        <v>52</v>
      </c>
      <c r="Z168" s="9">
        <v>36.596921873571432</v>
      </c>
      <c r="AA168" s="66" t="s">
        <v>254</v>
      </c>
      <c r="AB168" s="15" t="s">
        <v>52</v>
      </c>
      <c r="AC168" s="9">
        <v>15.647917639486304</v>
      </c>
      <c r="AD168" s="78" t="s">
        <v>254</v>
      </c>
      <c r="AE168" s="78" t="s">
        <v>253</v>
      </c>
      <c r="AF168" s="9">
        <v>15.509306371796955</v>
      </c>
      <c r="AG168" s="66" t="s">
        <v>254</v>
      </c>
      <c r="AH168" s="73" t="s">
        <v>306</v>
      </c>
      <c r="AI168" s="9">
        <v>14.291819392142859</v>
      </c>
      <c r="AJ168" s="53" t="s">
        <v>1</v>
      </c>
      <c r="AK168" s="78" t="s">
        <v>253</v>
      </c>
      <c r="AL168" s="9">
        <v>13.918587473857851</v>
      </c>
      <c r="AM168" s="53" t="s">
        <v>1</v>
      </c>
      <c r="AN168" s="15" t="s">
        <v>52</v>
      </c>
      <c r="AO168" s="9">
        <v>13.576786406507617</v>
      </c>
      <c r="AP168" s="60"/>
      <c r="AQ168" s="53" t="s">
        <v>1</v>
      </c>
      <c r="AR168" s="9">
        <v>9.2293940041300004</v>
      </c>
      <c r="AS168" s="66" t="s">
        <v>254</v>
      </c>
      <c r="AT168" s="9">
        <v>5.3890101355360001</v>
      </c>
      <c r="AU168" s="78" t="s">
        <v>254</v>
      </c>
      <c r="AV168" s="9">
        <v>3</v>
      </c>
      <c r="AW168" s="15" t="s">
        <v>52</v>
      </c>
      <c r="AX168" s="9">
        <v>119.86902450410001</v>
      </c>
      <c r="AY168" s="64" t="s">
        <v>52</v>
      </c>
      <c r="AZ168" s="9">
        <v>1.7124146357728574</v>
      </c>
      <c r="BA168" s="78" t="s">
        <v>254</v>
      </c>
      <c r="BB168" s="64" t="s">
        <v>52</v>
      </c>
      <c r="BC168" s="9">
        <v>10.093668260271507</v>
      </c>
      <c r="BD168" s="78" t="s">
        <v>254</v>
      </c>
      <c r="BE168" s="78" t="s">
        <v>253</v>
      </c>
      <c r="BF168" s="9">
        <v>9.8825205123942865</v>
      </c>
      <c r="BG168" s="78" t="s">
        <v>254</v>
      </c>
      <c r="BH168" s="73" t="s">
        <v>306</v>
      </c>
      <c r="BI168" s="9">
        <v>8.6518926705068431</v>
      </c>
      <c r="BJ168" s="66" t="s">
        <v>254</v>
      </c>
      <c r="BK168" s="64" t="s">
        <v>1495</v>
      </c>
      <c r="BL168" s="9">
        <v>8.5436111704525004</v>
      </c>
      <c r="BM168" s="53" t="s">
        <v>1</v>
      </c>
      <c r="BN168" s="64" t="s">
        <v>52</v>
      </c>
      <c r="BO168" s="9">
        <v>6.3207024412671302</v>
      </c>
    </row>
    <row r="169" spans="1:67" x14ac:dyDescent="0.45">
      <c r="A169" s="10">
        <v>149</v>
      </c>
      <c r="B169" s="10" t="s">
        <v>311</v>
      </c>
      <c r="C169" s="287" t="s">
        <v>2140</v>
      </c>
      <c r="D169" s="291" t="s">
        <v>1919</v>
      </c>
      <c r="E169" s="56" t="s">
        <v>2280</v>
      </c>
      <c r="F169" s="58" t="s">
        <v>2281</v>
      </c>
      <c r="G169" s="80" t="s">
        <v>2179</v>
      </c>
      <c r="H169" s="10"/>
      <c r="I169" s="62">
        <v>219.70340278</v>
      </c>
      <c r="J169" s="62">
        <v>168.33390213000001</v>
      </c>
      <c r="K169" s="62">
        <v>177.02720224000001</v>
      </c>
      <c r="L169" s="49">
        <v>3792.6483883359047</v>
      </c>
      <c r="M169" s="49">
        <v>3499.7115703388263</v>
      </c>
      <c r="N169" s="49">
        <v>3281.7386406184369</v>
      </c>
      <c r="O169" s="61">
        <v>25.506132863120566</v>
      </c>
      <c r="P169" s="60"/>
      <c r="Q169" s="66" t="s">
        <v>88</v>
      </c>
      <c r="R169" s="9">
        <v>20.773306250200001</v>
      </c>
      <c r="S169" s="66" t="s">
        <v>88</v>
      </c>
      <c r="T169" s="9">
        <v>18.88482386381818</v>
      </c>
      <c r="U169" s="66" t="s">
        <v>88</v>
      </c>
      <c r="V169" s="9">
        <v>8.1820000000000004</v>
      </c>
      <c r="W169" s="78" t="s">
        <v>1503</v>
      </c>
      <c r="X169" s="9">
        <v>198.733062502</v>
      </c>
      <c r="Y169" s="64" t="s">
        <v>52</v>
      </c>
      <c r="Z169" s="9">
        <v>56.354422123571432</v>
      </c>
      <c r="AA169" s="66" t="s">
        <v>88</v>
      </c>
      <c r="AB169" s="66" t="s">
        <v>1503</v>
      </c>
      <c r="AC169" s="9">
        <v>26.667424851452378</v>
      </c>
      <c r="AD169" s="78" t="s">
        <v>254</v>
      </c>
      <c r="AE169" s="78" t="s">
        <v>1503</v>
      </c>
      <c r="AF169" s="9">
        <v>26.178020186583847</v>
      </c>
      <c r="AG169" s="66" t="s">
        <v>88</v>
      </c>
      <c r="AH169" s="66" t="s">
        <v>175</v>
      </c>
      <c r="AI169" s="9">
        <v>26.11213679271032</v>
      </c>
      <c r="AJ169" s="66" t="s">
        <v>254</v>
      </c>
      <c r="AK169" s="78" t="s">
        <v>175</v>
      </c>
      <c r="AL169" s="9">
        <v>25.356726806482758</v>
      </c>
      <c r="AM169" s="66" t="s">
        <v>88</v>
      </c>
      <c r="AN169" s="66" t="s">
        <v>262</v>
      </c>
      <c r="AO169" s="9">
        <v>24.912945397934575</v>
      </c>
      <c r="AP169" s="60"/>
      <c r="AQ169" s="66" t="s">
        <v>88</v>
      </c>
      <c r="AR169" s="9">
        <v>16.423178875156001</v>
      </c>
      <c r="AS169" s="66" t="s">
        <v>254</v>
      </c>
      <c r="AT169" s="9">
        <v>7.8547461667360006</v>
      </c>
      <c r="AU169" s="78" t="s">
        <v>88</v>
      </c>
      <c r="AV169" s="9">
        <v>3.3333333333333002</v>
      </c>
      <c r="AW169" s="66" t="s">
        <v>1503</v>
      </c>
      <c r="AX169" s="9">
        <v>258.05298125260003</v>
      </c>
      <c r="AY169" s="78" t="s">
        <v>1503</v>
      </c>
      <c r="AZ169" s="9">
        <v>3.9700458654246158</v>
      </c>
      <c r="BA169" s="78" t="s">
        <v>254</v>
      </c>
      <c r="BB169" s="78" t="s">
        <v>1503</v>
      </c>
      <c r="BC169" s="9">
        <v>18.892903596994707</v>
      </c>
      <c r="BD169" s="78" t="s">
        <v>88</v>
      </c>
      <c r="BE169" s="78" t="s">
        <v>1503</v>
      </c>
      <c r="BF169" s="9">
        <v>17.795299704444588</v>
      </c>
      <c r="BG169" s="78" t="s">
        <v>254</v>
      </c>
      <c r="BH169" s="66" t="s">
        <v>175</v>
      </c>
      <c r="BI169" s="9">
        <v>16.504782996188574</v>
      </c>
      <c r="BJ169" s="66" t="s">
        <v>254</v>
      </c>
      <c r="BK169" s="287" t="s">
        <v>1530</v>
      </c>
      <c r="BL169" s="9">
        <v>15.868750876375882</v>
      </c>
      <c r="BM169" s="66" t="s">
        <v>254</v>
      </c>
      <c r="BN169" s="64" t="s">
        <v>112</v>
      </c>
      <c r="BO169" s="9">
        <v>15.349543933378074</v>
      </c>
    </row>
    <row r="170" spans="1:67" x14ac:dyDescent="0.45">
      <c r="A170" s="10">
        <v>150</v>
      </c>
      <c r="B170" s="10" t="s">
        <v>1203</v>
      </c>
      <c r="C170" s="242" t="s">
        <v>1925</v>
      </c>
      <c r="D170" s="65"/>
      <c r="E170" s="289" t="s">
        <v>2239</v>
      </c>
      <c r="F170" s="58" t="s">
        <v>2170</v>
      </c>
      <c r="G170" s="242"/>
      <c r="H170" s="10"/>
      <c r="I170" s="62">
        <v>155.68910197000002</v>
      </c>
      <c r="J170" s="62">
        <v>231.55790293000001</v>
      </c>
      <c r="K170" s="62">
        <v>180.97870229</v>
      </c>
      <c r="L170" s="49">
        <v>3187.1444871206772</v>
      </c>
      <c r="M170" s="49">
        <v>3491.6459012781952</v>
      </c>
      <c r="N170" s="49">
        <v>3756.063687255179</v>
      </c>
      <c r="O170" s="61">
        <v>34.02767233076424</v>
      </c>
      <c r="P170" s="60"/>
      <c r="Q170" s="57" t="s">
        <v>101</v>
      </c>
      <c r="R170" s="9">
        <v>19.682692236400001</v>
      </c>
      <c r="S170" s="57" t="s">
        <v>101</v>
      </c>
      <c r="T170" s="9">
        <v>12.301682647750001</v>
      </c>
      <c r="U170" s="57" t="s">
        <v>101</v>
      </c>
      <c r="V170" s="9">
        <v>9.375</v>
      </c>
      <c r="W170" s="242" t="s">
        <v>295</v>
      </c>
      <c r="X170" s="9">
        <v>113.09615341840001</v>
      </c>
      <c r="Y170" s="242" t="s">
        <v>295</v>
      </c>
      <c r="Z170" s="9">
        <v>41.887464229037036</v>
      </c>
      <c r="AA170" s="57" t="s">
        <v>101</v>
      </c>
      <c r="AB170" s="57" t="s">
        <v>295</v>
      </c>
      <c r="AC170" s="9">
        <v>18.048561084402877</v>
      </c>
      <c r="AD170" s="242" t="s">
        <v>101</v>
      </c>
      <c r="AE170" s="58" t="s">
        <v>267</v>
      </c>
      <c r="AF170" s="9">
        <v>17.012747303879671</v>
      </c>
      <c r="AG170" s="57" t="s">
        <v>101</v>
      </c>
      <c r="AH170" s="71" t="s">
        <v>79</v>
      </c>
      <c r="AI170" s="9">
        <v>16.740622772554055</v>
      </c>
      <c r="AJ170" s="57" t="s">
        <v>101</v>
      </c>
      <c r="AK170" s="56" t="s">
        <v>40</v>
      </c>
      <c r="AL170" s="9">
        <v>16.04372799701245</v>
      </c>
      <c r="AM170" s="53" t="s">
        <v>1</v>
      </c>
      <c r="AN170" s="57" t="s">
        <v>295</v>
      </c>
      <c r="AO170" s="9">
        <v>15.79408297576302</v>
      </c>
      <c r="AP170" s="60"/>
      <c r="AQ170" s="57" t="s">
        <v>101</v>
      </c>
      <c r="AR170" s="9">
        <v>20.429999925856002</v>
      </c>
      <c r="AS170" s="57" t="s">
        <v>101</v>
      </c>
      <c r="AT170" s="9">
        <v>5.1074999814640005</v>
      </c>
      <c r="AU170" s="242" t="s">
        <v>101</v>
      </c>
      <c r="AV170" s="9">
        <v>3</v>
      </c>
      <c r="AW170" s="57" t="s">
        <v>295</v>
      </c>
      <c r="AX170" s="9">
        <v>146.72499944392004</v>
      </c>
      <c r="AY170" s="242" t="s">
        <v>295</v>
      </c>
      <c r="AZ170" s="9">
        <v>2.2573076837526158</v>
      </c>
      <c r="BA170" s="242" t="s">
        <v>101</v>
      </c>
      <c r="BB170" s="242" t="s">
        <v>295</v>
      </c>
      <c r="BC170" s="9">
        <v>11.355330840101766</v>
      </c>
      <c r="BD170" s="242" t="s">
        <v>101</v>
      </c>
      <c r="BE170" s="80" t="s">
        <v>79</v>
      </c>
      <c r="BF170" s="9">
        <v>10.283823491249413</v>
      </c>
      <c r="BG170" s="242" t="s">
        <v>101</v>
      </c>
      <c r="BH170" s="55" t="s">
        <v>267</v>
      </c>
      <c r="BI170" s="9">
        <v>10.030365528878303</v>
      </c>
      <c r="BJ170" s="57" t="s">
        <v>101</v>
      </c>
      <c r="BK170" s="56" t="s">
        <v>40</v>
      </c>
      <c r="BL170" s="9">
        <v>9.9106770466475016</v>
      </c>
      <c r="BM170" s="53" t="s">
        <v>1</v>
      </c>
      <c r="BN170" s="242" t="s">
        <v>295</v>
      </c>
      <c r="BO170" s="9">
        <v>7.6485463030071905</v>
      </c>
    </row>
    <row r="171" spans="1:67" x14ac:dyDescent="0.45">
      <c r="A171" s="10">
        <v>150</v>
      </c>
      <c r="B171" s="10" t="s">
        <v>1205</v>
      </c>
      <c r="C171" s="242" t="s">
        <v>1925</v>
      </c>
      <c r="D171" s="65"/>
      <c r="E171" s="289" t="s">
        <v>2239</v>
      </c>
      <c r="F171" s="58" t="s">
        <v>2170</v>
      </c>
      <c r="G171" s="242"/>
      <c r="H171" s="10"/>
      <c r="I171" s="62">
        <v>248.94450315</v>
      </c>
      <c r="J171" s="62">
        <v>155.68910197000002</v>
      </c>
      <c r="K171" s="62">
        <v>180.97870229</v>
      </c>
      <c r="L171" s="49">
        <v>4178.7403137014198</v>
      </c>
      <c r="M171" s="49">
        <v>3664.3095101318918</v>
      </c>
      <c r="N171" s="49">
        <v>3298.7512149855561</v>
      </c>
      <c r="O171" s="61">
        <v>24.380615502210997</v>
      </c>
      <c r="P171" s="60"/>
      <c r="Q171" s="57" t="s">
        <v>101</v>
      </c>
      <c r="R171" s="9">
        <v>30.873340377999998</v>
      </c>
      <c r="S171" s="57" t="s">
        <v>101</v>
      </c>
      <c r="T171" s="9">
        <v>19.295837736249997</v>
      </c>
      <c r="U171" s="57" t="s">
        <v>1497</v>
      </c>
      <c r="V171" s="9">
        <v>13.333</v>
      </c>
      <c r="W171" s="64" t="s">
        <v>112</v>
      </c>
      <c r="X171" s="9">
        <v>187.70837736250002</v>
      </c>
      <c r="Y171" s="242" t="s">
        <v>1569</v>
      </c>
      <c r="Z171" s="9">
        <v>58.882622478695652</v>
      </c>
      <c r="AA171" s="57" t="s">
        <v>101</v>
      </c>
      <c r="AB171" s="57" t="s">
        <v>1569</v>
      </c>
      <c r="AC171" s="9">
        <v>31.223733575676853</v>
      </c>
      <c r="AD171" s="242" t="s">
        <v>1497</v>
      </c>
      <c r="AE171" s="242" t="s">
        <v>1569</v>
      </c>
      <c r="AF171" s="9">
        <v>31.133409263078509</v>
      </c>
      <c r="AG171" s="57" t="s">
        <v>101</v>
      </c>
      <c r="AH171" s="57" t="s">
        <v>82</v>
      </c>
      <c r="AI171" s="9">
        <v>29.304241757500002</v>
      </c>
      <c r="AJ171" s="57" t="s">
        <v>1497</v>
      </c>
      <c r="AK171" s="242" t="s">
        <v>82</v>
      </c>
      <c r="AL171" s="9">
        <v>28.756813136125952</v>
      </c>
      <c r="AM171" s="57" t="s">
        <v>101</v>
      </c>
      <c r="AN171" s="68" t="s">
        <v>73</v>
      </c>
      <c r="AO171" s="9">
        <v>27.406006340200001</v>
      </c>
      <c r="AP171" s="60"/>
      <c r="AQ171" s="57" t="s">
        <v>101</v>
      </c>
      <c r="AR171" s="9">
        <v>32.068273993120002</v>
      </c>
      <c r="AS171" s="57" t="s">
        <v>101</v>
      </c>
      <c r="AT171" s="9">
        <v>8.0170684982800005</v>
      </c>
      <c r="AU171" s="242" t="s">
        <v>1497</v>
      </c>
      <c r="AV171" s="9">
        <v>4.5</v>
      </c>
      <c r="AW171" s="55" t="s">
        <v>2505</v>
      </c>
      <c r="AX171" s="9">
        <v>243.72089057125001</v>
      </c>
      <c r="AY171" s="242" t="s">
        <v>1569</v>
      </c>
      <c r="AZ171" s="9">
        <v>3.9057564713622224</v>
      </c>
      <c r="BA171" s="242" t="s">
        <v>1497</v>
      </c>
      <c r="BB171" s="242" t="s">
        <v>1569</v>
      </c>
      <c r="BC171" s="9">
        <v>19.080504370895454</v>
      </c>
      <c r="BD171" s="242" t="s">
        <v>101</v>
      </c>
      <c r="BE171" s="242" t="s">
        <v>1569</v>
      </c>
      <c r="BF171" s="9">
        <v>18.500941792843751</v>
      </c>
      <c r="BG171" s="242" t="s">
        <v>101</v>
      </c>
      <c r="BH171" s="55" t="s">
        <v>187</v>
      </c>
      <c r="BI171" s="9">
        <v>17.082600116471156</v>
      </c>
      <c r="BJ171" s="57" t="s">
        <v>1497</v>
      </c>
      <c r="BK171" s="58" t="s">
        <v>187</v>
      </c>
      <c r="BL171" s="9">
        <v>17.015003887858487</v>
      </c>
      <c r="BM171" s="57" t="s">
        <v>101</v>
      </c>
      <c r="BN171" s="242" t="s">
        <v>82</v>
      </c>
      <c r="BO171" s="9">
        <v>16.693377431712072</v>
      </c>
    </row>
    <row r="172" spans="1:67" x14ac:dyDescent="0.45">
      <c r="A172" s="10">
        <v>151</v>
      </c>
      <c r="B172" s="10" t="s">
        <v>134</v>
      </c>
      <c r="C172" s="242" t="s">
        <v>1925</v>
      </c>
      <c r="D172" s="65"/>
      <c r="E172" s="289" t="s">
        <v>2239</v>
      </c>
      <c r="F172" s="58" t="s">
        <v>2170</v>
      </c>
      <c r="G172" s="242"/>
      <c r="H172" s="10"/>
      <c r="I172" s="62">
        <v>177.81750225000002</v>
      </c>
      <c r="J172" s="62">
        <v>177.81750225000002</v>
      </c>
      <c r="K172" s="62">
        <v>189.67200240000003</v>
      </c>
      <c r="L172" s="49">
        <v>3265.6028988496882</v>
      </c>
      <c r="M172" s="49">
        <v>3300.918691048048</v>
      </c>
      <c r="N172" s="49">
        <v>3329.4461109423987</v>
      </c>
      <c r="O172" s="61">
        <v>28.635167714093978</v>
      </c>
      <c r="P172" s="60"/>
      <c r="Q172" s="51" t="s">
        <v>1484</v>
      </c>
      <c r="R172" s="9">
        <v>18.781750225000003</v>
      </c>
      <c r="S172" s="53" t="s">
        <v>185</v>
      </c>
      <c r="T172" s="9">
        <v>13.474953279687499</v>
      </c>
      <c r="U172" s="51" t="s">
        <v>74</v>
      </c>
      <c r="V172" s="9">
        <v>13.635999999999999</v>
      </c>
      <c r="W172" s="79" t="s">
        <v>9</v>
      </c>
      <c r="X172" s="9">
        <v>161.03575202500002</v>
      </c>
      <c r="Y172" s="56" t="s">
        <v>87</v>
      </c>
      <c r="Z172" s="9">
        <v>39.090761358695659</v>
      </c>
      <c r="AA172" s="67" t="s">
        <v>20</v>
      </c>
      <c r="AB172" s="57" t="s">
        <v>82</v>
      </c>
      <c r="AC172" s="9">
        <v>20.613087301061576</v>
      </c>
      <c r="AD172" s="64" t="s">
        <v>288</v>
      </c>
      <c r="AE172" s="242" t="s">
        <v>82</v>
      </c>
      <c r="AF172" s="9">
        <v>20.156182398023507</v>
      </c>
      <c r="AG172" s="68" t="s">
        <v>49</v>
      </c>
      <c r="AH172" s="57" t="s">
        <v>82</v>
      </c>
      <c r="AI172" s="9">
        <v>19.92699010333012</v>
      </c>
      <c r="AJ172" s="66" t="s">
        <v>88</v>
      </c>
      <c r="AK172" s="242" t="s">
        <v>82</v>
      </c>
      <c r="AL172" s="9">
        <v>19.825544817612222</v>
      </c>
      <c r="AM172" s="53" t="s">
        <v>185</v>
      </c>
      <c r="AN172" s="57" t="s">
        <v>82</v>
      </c>
      <c r="AO172" s="9">
        <v>19.738148564744719</v>
      </c>
      <c r="AP172" s="60"/>
      <c r="AQ172" s="73" t="s">
        <v>2471</v>
      </c>
      <c r="AR172" s="9">
        <v>14.869765175500001</v>
      </c>
      <c r="AS172" s="73" t="s">
        <v>206</v>
      </c>
      <c r="AT172" s="9">
        <v>4.9565883918333338</v>
      </c>
      <c r="AU172" s="76" t="s">
        <v>20</v>
      </c>
      <c r="AV172" s="9">
        <v>4.3333333333333002</v>
      </c>
      <c r="AW172" s="55" t="s">
        <v>2810</v>
      </c>
      <c r="AX172" s="9">
        <v>174.37206469375002</v>
      </c>
      <c r="AY172" s="75" t="s">
        <v>48</v>
      </c>
      <c r="AZ172" s="9">
        <v>2.7501052618409094</v>
      </c>
      <c r="BA172" s="77" t="s">
        <v>49</v>
      </c>
      <c r="BB172" s="75" t="s">
        <v>48</v>
      </c>
      <c r="BC172" s="9">
        <v>13.953092013019068</v>
      </c>
      <c r="BD172" s="76" t="s">
        <v>20</v>
      </c>
      <c r="BE172" s="75" t="s">
        <v>48</v>
      </c>
      <c r="BF172" s="9">
        <v>13.141427233079353</v>
      </c>
      <c r="BG172" s="63" t="s">
        <v>171</v>
      </c>
      <c r="BH172" s="70" t="s">
        <v>48</v>
      </c>
      <c r="BI172" s="9">
        <v>12.779564684914529</v>
      </c>
      <c r="BJ172" s="68" t="s">
        <v>49</v>
      </c>
      <c r="BK172" s="58" t="s">
        <v>187</v>
      </c>
      <c r="BL172" s="9">
        <v>12.595523491337026</v>
      </c>
      <c r="BM172" s="68" t="s">
        <v>49</v>
      </c>
      <c r="BN172" s="242" t="s">
        <v>82</v>
      </c>
      <c r="BO172" s="9">
        <v>12.229166397985169</v>
      </c>
    </row>
    <row r="173" spans="1:67" x14ac:dyDescent="0.45">
      <c r="A173" s="10">
        <v>152</v>
      </c>
      <c r="B173" s="10" t="s">
        <v>1198</v>
      </c>
      <c r="C173" s="79" t="s">
        <v>1983</v>
      </c>
      <c r="D173" s="65"/>
      <c r="E173" s="63" t="s">
        <v>2265</v>
      </c>
      <c r="F173" s="80" t="s">
        <v>2266</v>
      </c>
      <c r="G173" s="242"/>
      <c r="H173" s="10"/>
      <c r="I173" s="62">
        <v>84.562101070000011</v>
      </c>
      <c r="J173" s="62">
        <v>108.27110137000001</v>
      </c>
      <c r="K173" s="62">
        <v>113.01290143000001</v>
      </c>
      <c r="L173" s="49">
        <v>935.39717695258128</v>
      </c>
      <c r="M173" s="49">
        <v>1023.0045447067423</v>
      </c>
      <c r="N173" s="49">
        <v>1098.9622379339003</v>
      </c>
      <c r="O173" s="61">
        <v>11.040648169675869</v>
      </c>
      <c r="P173" s="60"/>
      <c r="Q173" s="72" t="s">
        <v>24</v>
      </c>
      <c r="R173" s="9">
        <v>4.5516082449400006</v>
      </c>
      <c r="S173" s="72" t="s">
        <v>24</v>
      </c>
      <c r="T173" s="9">
        <v>7.586013741566668</v>
      </c>
      <c r="U173" s="15" t="s">
        <v>2396</v>
      </c>
      <c r="V173" s="9">
        <v>10</v>
      </c>
      <c r="W173" s="79" t="s">
        <v>2398</v>
      </c>
      <c r="X173" s="9">
        <v>46.663534577800007</v>
      </c>
      <c r="Y173" s="79" t="s">
        <v>23</v>
      </c>
      <c r="Z173" s="9">
        <v>17.947513299153847</v>
      </c>
      <c r="AA173" s="72" t="s">
        <v>24</v>
      </c>
      <c r="AB173" s="72" t="s">
        <v>23</v>
      </c>
      <c r="AC173" s="9">
        <v>11.13073727442544</v>
      </c>
      <c r="AD173" s="64" t="s">
        <v>127</v>
      </c>
      <c r="AE173" s="79" t="s">
        <v>23</v>
      </c>
      <c r="AF173" s="9">
        <v>10.237376295434212</v>
      </c>
      <c r="AG173" s="72" t="s">
        <v>24</v>
      </c>
      <c r="AH173" s="72" t="s">
        <v>33</v>
      </c>
      <c r="AI173" s="9">
        <v>9.5048992455767802</v>
      </c>
      <c r="AJ173" s="72" t="s">
        <v>24</v>
      </c>
      <c r="AK173" s="64" t="s">
        <v>1480</v>
      </c>
      <c r="AL173" s="9">
        <v>9.0625295043418284</v>
      </c>
      <c r="AM173" s="15" t="s">
        <v>127</v>
      </c>
      <c r="AN173" s="72" t="s">
        <v>33</v>
      </c>
      <c r="AO173" s="9">
        <v>8.7420291961011234</v>
      </c>
      <c r="AP173" s="60"/>
      <c r="AQ173" s="72" t="s">
        <v>24</v>
      </c>
      <c r="AR173" s="9">
        <v>4.2979219417300003</v>
      </c>
      <c r="AS173" s="15" t="s">
        <v>127</v>
      </c>
      <c r="AT173" s="9">
        <v>2.6489609708650002</v>
      </c>
      <c r="AU173" s="79" t="s">
        <v>24</v>
      </c>
      <c r="AV173" s="9">
        <v>4</v>
      </c>
      <c r="AW173" s="72" t="s">
        <v>2397</v>
      </c>
      <c r="AX173" s="9">
        <v>60.362594951140011</v>
      </c>
      <c r="AY173" s="79" t="s">
        <v>23</v>
      </c>
      <c r="AZ173" s="9">
        <v>1.2072518990228003</v>
      </c>
      <c r="BA173" s="79" t="s">
        <v>24</v>
      </c>
      <c r="BB173" s="79" t="s">
        <v>23</v>
      </c>
      <c r="BC173" s="9">
        <v>6.4610820064409271</v>
      </c>
      <c r="BD173" s="79" t="s">
        <v>24</v>
      </c>
      <c r="BE173" s="79" t="s">
        <v>33</v>
      </c>
      <c r="BF173" s="9">
        <v>5.7873130946321885</v>
      </c>
      <c r="BG173" s="79" t="s">
        <v>24</v>
      </c>
      <c r="BH173" s="15" t="s">
        <v>1480</v>
      </c>
      <c r="BI173" s="9">
        <v>5.4136028628070525</v>
      </c>
      <c r="BJ173" s="15" t="s">
        <v>127</v>
      </c>
      <c r="BK173" s="79" t="s">
        <v>23</v>
      </c>
      <c r="BL173" s="9">
        <v>4.8687161239525008</v>
      </c>
      <c r="BM173" s="15" t="s">
        <v>127</v>
      </c>
      <c r="BN173" s="79" t="s">
        <v>33</v>
      </c>
      <c r="BO173" s="9">
        <v>4.5106910992609688</v>
      </c>
    </row>
    <row r="174" spans="1:67" x14ac:dyDescent="0.45">
      <c r="A174" s="10">
        <v>153</v>
      </c>
      <c r="B174" s="10" t="s">
        <v>1197</v>
      </c>
      <c r="C174" s="79" t="s">
        <v>1983</v>
      </c>
      <c r="D174" s="65"/>
      <c r="E174" s="63" t="s">
        <v>2265</v>
      </c>
      <c r="F174" s="80" t="s">
        <v>2266</v>
      </c>
      <c r="G174" s="242"/>
      <c r="H174" s="10"/>
      <c r="I174" s="62">
        <v>108.27110137000001</v>
      </c>
      <c r="J174" s="62">
        <v>134.35100170000001</v>
      </c>
      <c r="K174" s="62">
        <v>134.35100170000001</v>
      </c>
      <c r="L174" s="49">
        <v>1454.6330924221745</v>
      </c>
      <c r="M174" s="49">
        <v>1563.1341387186462</v>
      </c>
      <c r="N174" s="49">
        <v>1655.733652889038</v>
      </c>
      <c r="O174" s="61">
        <v>15.912351318720932</v>
      </c>
      <c r="P174" s="60"/>
      <c r="Q174" s="72" t="s">
        <v>64</v>
      </c>
      <c r="R174" s="9">
        <v>9.4451459068600006</v>
      </c>
      <c r="S174" s="72" t="s">
        <v>64</v>
      </c>
      <c r="T174" s="9">
        <v>9.4451459068600006</v>
      </c>
      <c r="U174" s="15" t="s">
        <v>127</v>
      </c>
      <c r="V174" s="9">
        <v>10</v>
      </c>
      <c r="W174" s="79" t="s">
        <v>2398</v>
      </c>
      <c r="X174" s="9">
        <v>59.466394739800002</v>
      </c>
      <c r="Y174" s="79" t="s">
        <v>23</v>
      </c>
      <c r="Z174" s="9">
        <v>22.871690284538463</v>
      </c>
      <c r="AA174" s="72" t="s">
        <v>64</v>
      </c>
      <c r="AB174" s="72" t="s">
        <v>23</v>
      </c>
      <c r="AC174" s="9">
        <v>13.028182676269795</v>
      </c>
      <c r="AD174" s="64" t="s">
        <v>127</v>
      </c>
      <c r="AE174" s="79" t="s">
        <v>23</v>
      </c>
      <c r="AF174" s="9">
        <v>12.701864484513159</v>
      </c>
      <c r="AG174" s="72" t="s">
        <v>64</v>
      </c>
      <c r="AH174" s="72" t="s">
        <v>33</v>
      </c>
      <c r="AI174" s="9">
        <v>11.49446388773092</v>
      </c>
      <c r="AJ174" s="15" t="s">
        <v>127</v>
      </c>
      <c r="AK174" s="79" t="s">
        <v>33</v>
      </c>
      <c r="AL174" s="9">
        <v>10.846535964303371</v>
      </c>
      <c r="AM174" s="72" t="s">
        <v>64</v>
      </c>
      <c r="AN174" s="52" t="s">
        <v>282</v>
      </c>
      <c r="AO174" s="9">
        <v>10.151626430867436</v>
      </c>
      <c r="AP174" s="60"/>
      <c r="AQ174" s="72" t="s">
        <v>64</v>
      </c>
      <c r="AR174" s="9">
        <v>10.289660497546</v>
      </c>
      <c r="AS174" s="72" t="s">
        <v>64</v>
      </c>
      <c r="AT174" s="9">
        <v>5.1448302487730002</v>
      </c>
      <c r="AU174" s="64" t="s">
        <v>2472</v>
      </c>
      <c r="AV174" s="9">
        <v>2</v>
      </c>
      <c r="AW174" s="72" t="s">
        <v>2397</v>
      </c>
      <c r="AX174" s="9">
        <v>77.00631316174001</v>
      </c>
      <c r="AY174" s="79" t="s">
        <v>23</v>
      </c>
      <c r="AZ174" s="9">
        <v>1.5401262632348003</v>
      </c>
      <c r="BA174" s="79" t="s">
        <v>64</v>
      </c>
      <c r="BB174" s="79" t="s">
        <v>23</v>
      </c>
      <c r="BC174" s="9">
        <v>7.9087334377332699</v>
      </c>
      <c r="BD174" s="79" t="s">
        <v>64</v>
      </c>
      <c r="BE174" s="79" t="s">
        <v>33</v>
      </c>
      <c r="BF174" s="9">
        <v>7.4629426008041939</v>
      </c>
      <c r="BG174" s="79" t="s">
        <v>64</v>
      </c>
      <c r="BH174" s="52" t="s">
        <v>282</v>
      </c>
      <c r="BI174" s="9">
        <v>7.0647673072656394</v>
      </c>
      <c r="BJ174" s="15" t="s">
        <v>127</v>
      </c>
      <c r="BK174" s="79" t="s">
        <v>23</v>
      </c>
      <c r="BL174" s="9">
        <v>5.9534028876775</v>
      </c>
      <c r="BM174" s="15" t="s">
        <v>127</v>
      </c>
      <c r="BN174" s="79" t="s">
        <v>33</v>
      </c>
      <c r="BO174" s="9">
        <v>5.4949970149416139</v>
      </c>
    </row>
    <row r="175" spans="1:67" x14ac:dyDescent="0.45">
      <c r="A175" s="10">
        <v>154</v>
      </c>
      <c r="B175" s="10" t="s">
        <v>275</v>
      </c>
      <c r="C175" s="79" t="s">
        <v>1983</v>
      </c>
      <c r="D175" s="65"/>
      <c r="E175" s="63" t="s">
        <v>2265</v>
      </c>
      <c r="F175" s="80" t="s">
        <v>2266</v>
      </c>
      <c r="G175" s="242"/>
      <c r="H175" s="10"/>
      <c r="I175" s="62">
        <v>144.62490183</v>
      </c>
      <c r="J175" s="62">
        <v>171.49510217000002</v>
      </c>
      <c r="K175" s="62">
        <v>162.01150205000002</v>
      </c>
      <c r="L175" s="49">
        <v>2410.6927515405732</v>
      </c>
      <c r="M175" s="49">
        <v>2527.5151335929713</v>
      </c>
      <c r="N175" s="49">
        <v>2625.0361386876111</v>
      </c>
      <c r="O175" s="61">
        <v>23.716854680240957</v>
      </c>
      <c r="P175" s="60"/>
      <c r="Q175" s="72" t="s">
        <v>64</v>
      </c>
      <c r="R175" s="9">
        <v>12.28074234274</v>
      </c>
      <c r="S175" s="72" t="s">
        <v>64</v>
      </c>
      <c r="T175" s="9">
        <v>12.28074234274</v>
      </c>
      <c r="U175" s="72" t="s">
        <v>24</v>
      </c>
      <c r="V175" s="9">
        <v>10</v>
      </c>
      <c r="W175" s="79" t="s">
        <v>9</v>
      </c>
      <c r="X175" s="9">
        <v>157.19489397639998</v>
      </c>
      <c r="Y175" s="79" t="s">
        <v>103</v>
      </c>
      <c r="Z175" s="9">
        <v>37.097090464538461</v>
      </c>
      <c r="AA175" s="72" t="s">
        <v>24</v>
      </c>
      <c r="AB175" s="72" t="s">
        <v>1565</v>
      </c>
      <c r="AC175" s="9">
        <v>19.306182904188596</v>
      </c>
      <c r="AD175" s="79" t="s">
        <v>24</v>
      </c>
      <c r="AE175" s="79" t="s">
        <v>9</v>
      </c>
      <c r="AF175" s="9">
        <v>18.374640654504635</v>
      </c>
      <c r="AG175" s="72" t="s">
        <v>64</v>
      </c>
      <c r="AH175" s="72" t="s">
        <v>1565</v>
      </c>
      <c r="AI175" s="9">
        <v>18.012634968079176</v>
      </c>
      <c r="AJ175" s="72" t="s">
        <v>64</v>
      </c>
      <c r="AK175" s="79" t="s">
        <v>9</v>
      </c>
      <c r="AL175" s="9">
        <v>17.156081865201006</v>
      </c>
      <c r="AM175" s="72" t="s">
        <v>24</v>
      </c>
      <c r="AN175" s="72" t="s">
        <v>103</v>
      </c>
      <c r="AO175" s="9">
        <v>16.930829305814061</v>
      </c>
      <c r="AP175" s="60"/>
      <c r="AQ175" s="72" t="s">
        <v>64</v>
      </c>
      <c r="AR175" s="9">
        <v>13.408816577014001</v>
      </c>
      <c r="AS175" s="72" t="s">
        <v>64</v>
      </c>
      <c r="AT175" s="9">
        <v>6.7044082885070004</v>
      </c>
      <c r="AU175" s="79" t="s">
        <v>24</v>
      </c>
      <c r="AV175" s="9">
        <v>4</v>
      </c>
      <c r="AW175" s="72" t="s">
        <v>9</v>
      </c>
      <c r="AX175" s="9">
        <v>170.21113514110002</v>
      </c>
      <c r="AY175" s="79" t="s">
        <v>1565</v>
      </c>
      <c r="AZ175" s="9">
        <v>2.529053853942222</v>
      </c>
      <c r="BA175" s="79" t="s">
        <v>24</v>
      </c>
      <c r="BB175" s="79" t="s">
        <v>1565</v>
      </c>
      <c r="BC175" s="9">
        <v>12.339551940110715</v>
      </c>
      <c r="BD175" s="79" t="s">
        <v>24</v>
      </c>
      <c r="BE175" s="79" t="s">
        <v>9</v>
      </c>
      <c r="BF175" s="9">
        <v>11.267373659752382</v>
      </c>
      <c r="BG175" s="79" t="s">
        <v>64</v>
      </c>
      <c r="BH175" s="72" t="s">
        <v>1565</v>
      </c>
      <c r="BI175" s="9">
        <v>11.26198340080032</v>
      </c>
      <c r="BJ175" s="72" t="s">
        <v>64</v>
      </c>
      <c r="BK175" s="79" t="s">
        <v>9</v>
      </c>
      <c r="BL175" s="9">
        <v>10.69237723613122</v>
      </c>
      <c r="BM175" s="72" t="s">
        <v>24</v>
      </c>
      <c r="BN175" s="79" t="s">
        <v>103</v>
      </c>
      <c r="BO175" s="9">
        <v>10.379198929711377</v>
      </c>
    </row>
    <row r="176" spans="1:67" x14ac:dyDescent="0.45">
      <c r="A176" s="10">
        <v>155</v>
      </c>
      <c r="B176" s="10" t="s">
        <v>1193</v>
      </c>
      <c r="C176" s="75" t="s">
        <v>1976</v>
      </c>
      <c r="D176" s="65"/>
      <c r="E176" s="80" t="s">
        <v>2198</v>
      </c>
      <c r="F176" s="289" t="s">
        <v>2199</v>
      </c>
      <c r="G176" s="242"/>
      <c r="H176" s="10"/>
      <c r="I176" s="62">
        <v>103.52930131000001</v>
      </c>
      <c r="J176" s="62">
        <v>85.352401080000007</v>
      </c>
      <c r="K176" s="62">
        <v>105.10990133000001</v>
      </c>
      <c r="L176" s="49">
        <v>980.60243819373022</v>
      </c>
      <c r="M176" s="49">
        <v>951.952114662285</v>
      </c>
      <c r="N176" s="49">
        <v>929.63573658388032</v>
      </c>
      <c r="O176" s="61">
        <v>8.2658705567613318</v>
      </c>
      <c r="P176" s="60"/>
      <c r="Q176" s="70" t="s">
        <v>138</v>
      </c>
      <c r="R176" s="9">
        <v>7.2117580786</v>
      </c>
      <c r="S176" s="70" t="s">
        <v>138</v>
      </c>
      <c r="T176" s="9">
        <v>7.2117580786</v>
      </c>
      <c r="U176" s="15" t="s">
        <v>2387</v>
      </c>
      <c r="V176" s="9">
        <v>10</v>
      </c>
      <c r="W176" s="75" t="s">
        <v>2378</v>
      </c>
      <c r="X176" s="9">
        <v>44.482306550200001</v>
      </c>
      <c r="Y176" s="75" t="s">
        <v>76</v>
      </c>
      <c r="Z176" s="9">
        <v>20.219230250090909</v>
      </c>
      <c r="AA176" s="70" t="s">
        <v>138</v>
      </c>
      <c r="AB176" s="70" t="s">
        <v>76</v>
      </c>
      <c r="AC176" s="9">
        <v>11.186263464333333</v>
      </c>
      <c r="AD176" s="64" t="s">
        <v>127</v>
      </c>
      <c r="AE176" s="75" t="s">
        <v>76</v>
      </c>
      <c r="AF176" s="9">
        <v>11.161754427458334</v>
      </c>
      <c r="AG176" s="70" t="s">
        <v>138</v>
      </c>
      <c r="AH176" s="70" t="s">
        <v>1482</v>
      </c>
      <c r="AI176" s="9">
        <v>9.6058177774112163</v>
      </c>
      <c r="AJ176" s="15" t="s">
        <v>127</v>
      </c>
      <c r="AK176" s="75" t="s">
        <v>1482</v>
      </c>
      <c r="AL176" s="9">
        <v>9.5893257152149527</v>
      </c>
      <c r="AM176" s="70" t="s">
        <v>138</v>
      </c>
      <c r="AN176" s="15" t="s">
        <v>120</v>
      </c>
      <c r="AO176" s="9">
        <v>8.7330231776923082</v>
      </c>
      <c r="AP176" s="60"/>
      <c r="AQ176" s="70" t="s">
        <v>138</v>
      </c>
      <c r="AR176" s="9">
        <v>5.8451713013080004</v>
      </c>
      <c r="AS176" s="15" t="s">
        <v>127</v>
      </c>
      <c r="AT176" s="9">
        <v>3.0188213755450004</v>
      </c>
      <c r="AU176" s="75" t="s">
        <v>138</v>
      </c>
      <c r="AV176" s="9">
        <v>3</v>
      </c>
      <c r="AW176" s="70" t="s">
        <v>76</v>
      </c>
      <c r="AX176" s="9">
        <v>73.677569519620008</v>
      </c>
      <c r="AY176" s="75" t="s">
        <v>76</v>
      </c>
      <c r="AZ176" s="9">
        <v>1.3395921730840001</v>
      </c>
      <c r="BA176" s="75" t="s">
        <v>138</v>
      </c>
      <c r="BB176" s="75" t="s">
        <v>76</v>
      </c>
      <c r="BC176" s="9">
        <v>6.5823261956005181</v>
      </c>
      <c r="BD176" s="75" t="s">
        <v>138</v>
      </c>
      <c r="BE176" s="75" t="s">
        <v>1482</v>
      </c>
      <c r="BF176" s="9">
        <v>6.0134014731788685</v>
      </c>
      <c r="BG176" s="64" t="s">
        <v>127</v>
      </c>
      <c r="BH176" s="70" t="s">
        <v>76</v>
      </c>
      <c r="BI176" s="9">
        <v>5.498075696389737</v>
      </c>
      <c r="BJ176" s="15" t="s">
        <v>127</v>
      </c>
      <c r="BK176" s="75" t="s">
        <v>1482</v>
      </c>
      <c r="BL176" s="9">
        <v>5.1152897270724997</v>
      </c>
      <c r="BM176" s="70" t="s">
        <v>138</v>
      </c>
      <c r="BN176" s="64" t="s">
        <v>120</v>
      </c>
      <c r="BO176" s="9">
        <v>4.9115774710115518</v>
      </c>
    </row>
    <row r="177" spans="1:67" x14ac:dyDescent="0.45">
      <c r="A177" s="10">
        <v>156</v>
      </c>
      <c r="B177" s="10" t="s">
        <v>1191</v>
      </c>
      <c r="C177" s="75" t="s">
        <v>1976</v>
      </c>
      <c r="D177" s="65"/>
      <c r="E177" s="80" t="s">
        <v>2198</v>
      </c>
      <c r="F177" s="289" t="s">
        <v>2199</v>
      </c>
      <c r="G177" s="242"/>
      <c r="H177" s="10"/>
      <c r="I177" s="62">
        <v>136.72190173000001</v>
      </c>
      <c r="J177" s="62">
        <v>111.43230141000001</v>
      </c>
      <c r="K177" s="62">
        <v>131.18980166</v>
      </c>
      <c r="L177" s="49">
        <v>1653.0792645967472</v>
      </c>
      <c r="M177" s="49">
        <v>1586.7171314575523</v>
      </c>
      <c r="N177" s="49">
        <v>1535.5507578300083</v>
      </c>
      <c r="O177" s="61">
        <v>13.153101184794942</v>
      </c>
      <c r="P177" s="60"/>
      <c r="Q177" s="70" t="s">
        <v>138</v>
      </c>
      <c r="R177" s="9">
        <v>9.2033141038000004</v>
      </c>
      <c r="S177" s="70" t="s">
        <v>138</v>
      </c>
      <c r="T177" s="9">
        <v>9.2033141038000004</v>
      </c>
      <c r="U177" s="15" t="s">
        <v>2387</v>
      </c>
      <c r="V177" s="9">
        <v>10</v>
      </c>
      <c r="W177" s="80" t="s">
        <v>1490</v>
      </c>
      <c r="X177" s="9">
        <v>69.360950865000007</v>
      </c>
      <c r="Y177" s="75" t="s">
        <v>76</v>
      </c>
      <c r="Z177" s="9">
        <v>26.55599942118182</v>
      </c>
      <c r="AA177" s="70" t="s">
        <v>138</v>
      </c>
      <c r="AB177" s="70" t="s">
        <v>76</v>
      </c>
      <c r="AC177" s="9">
        <v>14.505523506333333</v>
      </c>
      <c r="AD177" s="64" t="s">
        <v>127</v>
      </c>
      <c r="AE177" s="75" t="s">
        <v>76</v>
      </c>
      <c r="AF177" s="9">
        <v>14.250510299875002</v>
      </c>
      <c r="AG177" s="70" t="s">
        <v>138</v>
      </c>
      <c r="AH177" s="70" t="s">
        <v>1482</v>
      </c>
      <c r="AI177" s="9">
        <v>12.490782112981311</v>
      </c>
      <c r="AJ177" s="15" t="s">
        <v>127</v>
      </c>
      <c r="AK177" s="75" t="s">
        <v>1482</v>
      </c>
      <c r="AL177" s="9">
        <v>12.319184441345797</v>
      </c>
      <c r="AM177" s="70" t="s">
        <v>138</v>
      </c>
      <c r="AN177" s="71" t="s">
        <v>1490</v>
      </c>
      <c r="AO177" s="9">
        <v>11.894589833402064</v>
      </c>
      <c r="AP177" s="60"/>
      <c r="AQ177" s="70" t="s">
        <v>138</v>
      </c>
      <c r="AR177" s="9">
        <v>7.3985850009640011</v>
      </c>
      <c r="AS177" s="70" t="s">
        <v>138</v>
      </c>
      <c r="AT177" s="9">
        <v>3.6992925004820005</v>
      </c>
      <c r="AU177" s="75" t="s">
        <v>138</v>
      </c>
      <c r="AV177" s="9">
        <v>3</v>
      </c>
      <c r="AW177" s="70" t="s">
        <v>76</v>
      </c>
      <c r="AX177" s="9">
        <v>96.978775014460012</v>
      </c>
      <c r="AY177" s="75" t="s">
        <v>76</v>
      </c>
      <c r="AZ177" s="9">
        <v>1.7632504548083638</v>
      </c>
      <c r="BA177" s="75" t="s">
        <v>138</v>
      </c>
      <c r="BB177" s="75" t="s">
        <v>76</v>
      </c>
      <c r="BC177" s="9">
        <v>8.5240933201705182</v>
      </c>
      <c r="BD177" s="75" t="s">
        <v>138</v>
      </c>
      <c r="BE177" s="75" t="s">
        <v>1482</v>
      </c>
      <c r="BF177" s="9">
        <v>7.7719830199592455</v>
      </c>
      <c r="BG177" s="64" t="s">
        <v>127</v>
      </c>
      <c r="BH177" s="70" t="s">
        <v>76</v>
      </c>
      <c r="BI177" s="9">
        <v>6.9402068356902644</v>
      </c>
      <c r="BJ177" s="70" t="s">
        <v>138</v>
      </c>
      <c r="BK177" s="80" t="s">
        <v>1490</v>
      </c>
      <c r="BL177" s="9">
        <v>6.8138687760489161</v>
      </c>
      <c r="BM177" s="15" t="s">
        <v>127</v>
      </c>
      <c r="BN177" s="75" t="s">
        <v>1482</v>
      </c>
      <c r="BO177" s="9">
        <v>6.4346955937675006</v>
      </c>
    </row>
    <row r="178" spans="1:67" x14ac:dyDescent="0.45">
      <c r="A178" s="10">
        <v>157</v>
      </c>
      <c r="B178" s="10" t="s">
        <v>50</v>
      </c>
      <c r="C178" s="75" t="s">
        <v>1976</v>
      </c>
      <c r="D178" s="65"/>
      <c r="E178" s="80" t="s">
        <v>2198</v>
      </c>
      <c r="F178" s="289" t="s">
        <v>2199</v>
      </c>
      <c r="G178" s="242"/>
      <c r="H178" s="10"/>
      <c r="I178" s="62">
        <v>188.09140238000001</v>
      </c>
      <c r="J178" s="62">
        <v>148.57640188000002</v>
      </c>
      <c r="K178" s="62">
        <v>158.85030201000001</v>
      </c>
      <c r="L178" s="49">
        <v>2889.6010421740325</v>
      </c>
      <c r="M178" s="49">
        <v>2701.0827167394464</v>
      </c>
      <c r="N178" s="49">
        <v>2559.1626162853049</v>
      </c>
      <c r="O178" s="61">
        <v>20.548399106551507</v>
      </c>
      <c r="P178" s="60"/>
      <c r="Q178" s="70" t="s">
        <v>138</v>
      </c>
      <c r="R178" s="9">
        <v>12.2854841428</v>
      </c>
      <c r="S178" s="68" t="s">
        <v>49</v>
      </c>
      <c r="T178" s="9">
        <v>13.520161581571431</v>
      </c>
      <c r="U178" s="70" t="s">
        <v>138</v>
      </c>
      <c r="V178" s="9">
        <v>10</v>
      </c>
      <c r="W178" s="75" t="s">
        <v>48</v>
      </c>
      <c r="X178" s="9">
        <v>181.56774628479999</v>
      </c>
      <c r="Y178" s="75" t="s">
        <v>48</v>
      </c>
      <c r="Z178" s="9">
        <v>45.391936571199999</v>
      </c>
      <c r="AA178" s="70" t="s">
        <v>138</v>
      </c>
      <c r="AB178" s="70" t="s">
        <v>1563</v>
      </c>
      <c r="AC178" s="9">
        <v>22.47804172106024</v>
      </c>
      <c r="AD178" s="77" t="s">
        <v>49</v>
      </c>
      <c r="AE178" s="75" t="s">
        <v>1563</v>
      </c>
      <c r="AF178" s="9">
        <v>22.336635196711683</v>
      </c>
      <c r="AG178" s="70" t="s">
        <v>138</v>
      </c>
      <c r="AH178" s="70" t="s">
        <v>48</v>
      </c>
      <c r="AI178" s="9">
        <v>21.744470550914286</v>
      </c>
      <c r="AJ178" s="68" t="s">
        <v>49</v>
      </c>
      <c r="AK178" s="75" t="s">
        <v>48</v>
      </c>
      <c r="AL178" s="9">
        <v>21.538218182735854</v>
      </c>
      <c r="AM178" s="68" t="s">
        <v>49</v>
      </c>
      <c r="AN178" s="70" t="s">
        <v>19</v>
      </c>
      <c r="AO178" s="9">
        <v>19.868739181360251</v>
      </c>
      <c r="AP178" s="60"/>
      <c r="AQ178" s="70" t="s">
        <v>138</v>
      </c>
      <c r="AR178" s="9">
        <v>9.8026776313840003</v>
      </c>
      <c r="AS178" s="70" t="s">
        <v>138</v>
      </c>
      <c r="AT178" s="9">
        <v>4.9013388156920001</v>
      </c>
      <c r="AU178" s="77" t="s">
        <v>49</v>
      </c>
      <c r="AV178" s="9">
        <v>4</v>
      </c>
      <c r="AW178" s="70" t="s">
        <v>19</v>
      </c>
      <c r="AX178" s="9">
        <v>206.39581139896001</v>
      </c>
      <c r="AY178" s="75" t="s">
        <v>48</v>
      </c>
      <c r="AZ178" s="9">
        <v>3.4859033093330911</v>
      </c>
      <c r="BA178" s="77" t="s">
        <v>49</v>
      </c>
      <c r="BB178" s="75" t="s">
        <v>48</v>
      </c>
      <c r="BC178" s="9">
        <v>16.883504357725933</v>
      </c>
      <c r="BD178" s="77" t="s">
        <v>49</v>
      </c>
      <c r="BE178" s="75" t="s">
        <v>1563</v>
      </c>
      <c r="BF178" s="9">
        <v>15.887385375715926</v>
      </c>
      <c r="BG178" s="75" t="s">
        <v>138</v>
      </c>
      <c r="BH178" s="70" t="s">
        <v>48</v>
      </c>
      <c r="BI178" s="9">
        <v>14.564615187983103</v>
      </c>
      <c r="BJ178" s="70" t="s">
        <v>138</v>
      </c>
      <c r="BK178" s="75" t="s">
        <v>1563</v>
      </c>
      <c r="BL178" s="9">
        <v>13.815362462466416</v>
      </c>
      <c r="BM178" s="68" t="s">
        <v>49</v>
      </c>
      <c r="BN178" s="75" t="s">
        <v>19</v>
      </c>
      <c r="BO178" s="9">
        <v>13.797688491769524</v>
      </c>
    </row>
    <row r="179" spans="1:67" x14ac:dyDescent="0.45">
      <c r="A179" s="10">
        <v>158</v>
      </c>
      <c r="B179" s="10" t="s">
        <v>1188</v>
      </c>
      <c r="C179" s="288" t="s">
        <v>1993</v>
      </c>
      <c r="D179" s="65"/>
      <c r="E179" s="290" t="s">
        <v>2201</v>
      </c>
      <c r="F179" s="59" t="s">
        <v>2202</v>
      </c>
      <c r="G179" s="242"/>
      <c r="H179" s="10"/>
      <c r="I179" s="62">
        <v>104.31960132</v>
      </c>
      <c r="J179" s="62">
        <v>97.99720124000001</v>
      </c>
      <c r="K179" s="62">
        <v>120.12560152</v>
      </c>
      <c r="L179" s="49">
        <v>1131.8543456708978</v>
      </c>
      <c r="M179" s="49">
        <v>1146.7712005281451</v>
      </c>
      <c r="N179" s="49">
        <v>1158.846106174839</v>
      </c>
      <c r="O179" s="61">
        <v>10.721313982346278</v>
      </c>
      <c r="P179" s="60"/>
      <c r="Q179" s="15" t="s">
        <v>2399</v>
      </c>
      <c r="R179" s="9">
        <v>4.1295880395999998</v>
      </c>
      <c r="S179" s="15" t="s">
        <v>2399</v>
      </c>
      <c r="T179" s="9">
        <v>8.2591760791999995</v>
      </c>
      <c r="U179" s="73" t="s">
        <v>121</v>
      </c>
      <c r="V179" s="9">
        <v>10</v>
      </c>
      <c r="W179" s="288" t="s">
        <v>238</v>
      </c>
      <c r="X179" s="9">
        <v>44.8142325544</v>
      </c>
      <c r="Y179" s="288" t="s">
        <v>238</v>
      </c>
      <c r="Z179" s="9">
        <v>14.004447673249999</v>
      </c>
      <c r="AA179" s="73" t="s">
        <v>121</v>
      </c>
      <c r="AB179" s="73" t="s">
        <v>238</v>
      </c>
      <c r="AC179" s="9">
        <v>10.501233286634147</v>
      </c>
      <c r="AD179" s="64" t="s">
        <v>1489</v>
      </c>
      <c r="AE179" s="288" t="s">
        <v>238</v>
      </c>
      <c r="AF179" s="9">
        <v>10.204664872952382</v>
      </c>
      <c r="AG179" s="73" t="s">
        <v>121</v>
      </c>
      <c r="AH179" s="67" t="s">
        <v>91</v>
      </c>
      <c r="AI179" s="9">
        <v>9.9554766417346947</v>
      </c>
      <c r="AJ179" s="15" t="s">
        <v>1489</v>
      </c>
      <c r="AK179" s="76" t="s">
        <v>91</v>
      </c>
      <c r="AL179" s="9">
        <v>9.763587437828054</v>
      </c>
      <c r="AM179" s="73" t="s">
        <v>121</v>
      </c>
      <c r="AN179" s="73" t="s">
        <v>1519</v>
      </c>
      <c r="AO179" s="9">
        <v>9.5556538124269661</v>
      </c>
      <c r="AP179" s="60"/>
      <c r="AQ179" s="15" t="s">
        <v>1489</v>
      </c>
      <c r="AR179" s="9">
        <v>3.7123096343200004</v>
      </c>
      <c r="AS179" s="15" t="s">
        <v>1489</v>
      </c>
      <c r="AT179" s="9">
        <v>3.7123096343200004</v>
      </c>
      <c r="AU179" s="288" t="s">
        <v>121</v>
      </c>
      <c r="AV179" s="9">
        <v>3</v>
      </c>
      <c r="AW179" s="73" t="s">
        <v>238</v>
      </c>
      <c r="AX179" s="9">
        <v>57.958502320720001</v>
      </c>
      <c r="AY179" s="76" t="s">
        <v>91</v>
      </c>
      <c r="AZ179" s="9">
        <v>1.0770093022355556</v>
      </c>
      <c r="BA179" s="288" t="s">
        <v>121</v>
      </c>
      <c r="BB179" s="76" t="s">
        <v>91</v>
      </c>
      <c r="BC179" s="9">
        <v>6.2550999164950003</v>
      </c>
      <c r="BD179" s="288" t="s">
        <v>121</v>
      </c>
      <c r="BE179" s="288" t="s">
        <v>238</v>
      </c>
      <c r="BF179" s="9">
        <v>6.0371464637371428</v>
      </c>
      <c r="BG179" s="64" t="s">
        <v>1489</v>
      </c>
      <c r="BH179" s="67" t="s">
        <v>91</v>
      </c>
      <c r="BI179" s="9">
        <v>5.6166972499063839</v>
      </c>
      <c r="BJ179" s="73" t="s">
        <v>121</v>
      </c>
      <c r="BK179" s="288" t="s">
        <v>1519</v>
      </c>
      <c r="BL179" s="9">
        <v>5.5770225079150002</v>
      </c>
      <c r="BM179" s="15" t="s">
        <v>1489</v>
      </c>
      <c r="BN179" s="288" t="s">
        <v>238</v>
      </c>
      <c r="BO179" s="9">
        <v>5.4621868177522588</v>
      </c>
    </row>
    <row r="180" spans="1:67" x14ac:dyDescent="0.45">
      <c r="A180" s="10">
        <v>159</v>
      </c>
      <c r="B180" s="10" t="s">
        <v>1186</v>
      </c>
      <c r="C180" s="288" t="s">
        <v>1993</v>
      </c>
      <c r="D180" s="65"/>
      <c r="E180" s="290" t="s">
        <v>2201</v>
      </c>
      <c r="F180" s="59" t="s">
        <v>2202</v>
      </c>
      <c r="G180" s="242"/>
      <c r="H180" s="10"/>
      <c r="I180" s="62">
        <v>130.39950165000002</v>
      </c>
      <c r="J180" s="62">
        <v>124.07710157000001</v>
      </c>
      <c r="K180" s="62">
        <v>140.67340178000001</v>
      </c>
      <c r="L180" s="49">
        <v>1722.7717692438521</v>
      </c>
      <c r="M180" s="49">
        <v>1730.2932257764601</v>
      </c>
      <c r="N180" s="49">
        <v>1736.3340274602438</v>
      </c>
      <c r="O180" s="61">
        <v>15.52771419013515</v>
      </c>
      <c r="P180" s="60"/>
      <c r="Q180" s="15" t="s">
        <v>2399</v>
      </c>
      <c r="R180" s="9">
        <v>4.9119850495000001</v>
      </c>
      <c r="S180" s="15" t="s">
        <v>2399</v>
      </c>
      <c r="T180" s="9">
        <v>9.8239700990000003</v>
      </c>
      <c r="U180" s="73" t="s">
        <v>121</v>
      </c>
      <c r="V180" s="9">
        <v>10</v>
      </c>
      <c r="W180" s="288" t="s">
        <v>238</v>
      </c>
      <c r="X180" s="9">
        <v>55.767790693000009</v>
      </c>
      <c r="Y180" s="291" t="s">
        <v>114</v>
      </c>
      <c r="Z180" s="9">
        <v>17.684144953947371</v>
      </c>
      <c r="AA180" s="73" t="s">
        <v>121</v>
      </c>
      <c r="AB180" s="73" t="s">
        <v>238</v>
      </c>
      <c r="AC180" s="9">
        <v>12.791175754634148</v>
      </c>
      <c r="AD180" s="288" t="s">
        <v>121</v>
      </c>
      <c r="AE180" s="291" t="s">
        <v>114</v>
      </c>
      <c r="AF180" s="9">
        <v>12.677664154617835</v>
      </c>
      <c r="AG180" s="15" t="s">
        <v>1489</v>
      </c>
      <c r="AH180" s="73" t="s">
        <v>238</v>
      </c>
      <c r="AI180" s="9">
        <v>12.398688234047622</v>
      </c>
      <c r="AJ180" s="15" t="s">
        <v>1489</v>
      </c>
      <c r="AK180" s="291" t="s">
        <v>114</v>
      </c>
      <c r="AL180" s="9">
        <v>12.285673212912089</v>
      </c>
      <c r="AM180" s="73" t="s">
        <v>121</v>
      </c>
      <c r="AN180" s="67" t="s">
        <v>91</v>
      </c>
      <c r="AO180" s="9">
        <v>12.150978455229593</v>
      </c>
      <c r="AP180" s="60"/>
      <c r="AQ180" s="15" t="s">
        <v>1489</v>
      </c>
      <c r="AR180" s="9">
        <v>4.3903870429000005</v>
      </c>
      <c r="AS180" s="15" t="s">
        <v>1489</v>
      </c>
      <c r="AT180" s="9">
        <v>4.3903870429000005</v>
      </c>
      <c r="AU180" s="288" t="s">
        <v>121</v>
      </c>
      <c r="AV180" s="9">
        <v>3</v>
      </c>
      <c r="AW180" s="73" t="s">
        <v>238</v>
      </c>
      <c r="AX180" s="9">
        <v>72.198127900900019</v>
      </c>
      <c r="AY180" s="76" t="s">
        <v>91</v>
      </c>
      <c r="AZ180" s="9">
        <v>1.340706072238889</v>
      </c>
      <c r="BA180" s="288" t="s">
        <v>121</v>
      </c>
      <c r="BB180" s="76" t="s">
        <v>91</v>
      </c>
      <c r="BC180" s="9">
        <v>7.5688748956187508</v>
      </c>
      <c r="BD180" s="288" t="s">
        <v>121</v>
      </c>
      <c r="BE180" s="288" t="s">
        <v>238</v>
      </c>
      <c r="BF180" s="9">
        <v>7.296433079671429</v>
      </c>
      <c r="BG180" s="288" t="s">
        <v>121</v>
      </c>
      <c r="BH180" s="74" t="s">
        <v>114</v>
      </c>
      <c r="BI180" s="9">
        <v>7.0908697456750005</v>
      </c>
      <c r="BJ180" s="15" t="s">
        <v>1489</v>
      </c>
      <c r="BK180" s="76" t="s">
        <v>91</v>
      </c>
      <c r="BL180" s="9">
        <v>6.7708715623829798</v>
      </c>
      <c r="BM180" s="15" t="s">
        <v>1489</v>
      </c>
      <c r="BN180" s="288" t="s">
        <v>238</v>
      </c>
      <c r="BO180" s="9">
        <v>6.5777335221903241</v>
      </c>
    </row>
    <row r="181" spans="1:67" x14ac:dyDescent="0.45">
      <c r="A181" s="10">
        <v>160</v>
      </c>
      <c r="B181" s="10" t="s">
        <v>177</v>
      </c>
      <c r="C181" s="288" t="s">
        <v>1993</v>
      </c>
      <c r="D181" s="65"/>
      <c r="E181" s="290" t="s">
        <v>2201</v>
      </c>
      <c r="F181" s="59" t="s">
        <v>2202</v>
      </c>
      <c r="G181" s="242"/>
      <c r="H181" s="10"/>
      <c r="I181" s="62">
        <v>173.86600220000003</v>
      </c>
      <c r="J181" s="62">
        <v>160.43090203</v>
      </c>
      <c r="K181" s="62">
        <v>168.33390213000001</v>
      </c>
      <c r="L181" s="49">
        <v>2857.2252298089338</v>
      </c>
      <c r="M181" s="49">
        <v>2804.0312947352431</v>
      </c>
      <c r="N181" s="49">
        <v>2762.1900739650473</v>
      </c>
      <c r="O181" s="61">
        <v>23.272354875850652</v>
      </c>
      <c r="P181" s="60"/>
      <c r="Q181" s="73" t="s">
        <v>206</v>
      </c>
      <c r="R181" s="9">
        <v>17.691136211200003</v>
      </c>
      <c r="S181" s="73" t="s">
        <v>206</v>
      </c>
      <c r="T181" s="9">
        <v>14.742613509333337</v>
      </c>
      <c r="U181" s="74" t="s">
        <v>1510</v>
      </c>
      <c r="V181" s="9">
        <v>13.333</v>
      </c>
      <c r="W181" s="288" t="s">
        <v>197</v>
      </c>
      <c r="X181" s="9">
        <v>136.61548171600001</v>
      </c>
      <c r="Y181" s="288" t="s">
        <v>1564</v>
      </c>
      <c r="Z181" s="9">
        <v>49.940863783157901</v>
      </c>
      <c r="AA181" s="73" t="s">
        <v>121</v>
      </c>
      <c r="AB181" s="73" t="s">
        <v>1564</v>
      </c>
      <c r="AC181" s="9">
        <v>22.760498818550726</v>
      </c>
      <c r="AD181" s="288" t="s">
        <v>206</v>
      </c>
      <c r="AE181" s="288" t="s">
        <v>1564</v>
      </c>
      <c r="AF181" s="9">
        <v>21.857153458297876</v>
      </c>
      <c r="AG181" s="74" t="s">
        <v>1510</v>
      </c>
      <c r="AH181" s="73" t="s">
        <v>1564</v>
      </c>
      <c r="AI181" s="9">
        <v>21.852662215575222</v>
      </c>
      <c r="AJ181" s="67" t="s">
        <v>66</v>
      </c>
      <c r="AK181" s="288" t="s">
        <v>1564</v>
      </c>
      <c r="AL181" s="9">
        <v>21.176367118159511</v>
      </c>
      <c r="AM181" s="73" t="s">
        <v>121</v>
      </c>
      <c r="AN181" s="73" t="s">
        <v>197</v>
      </c>
      <c r="AO181" s="9">
        <v>19.619179175639101</v>
      </c>
      <c r="AP181" s="60"/>
      <c r="AQ181" s="73" t="s">
        <v>206</v>
      </c>
      <c r="AR181" s="9">
        <v>17.273857805920002</v>
      </c>
      <c r="AS181" s="73" t="s">
        <v>206</v>
      </c>
      <c r="AT181" s="9">
        <v>5.7579526019733338</v>
      </c>
      <c r="AU181" s="288" t="s">
        <v>121</v>
      </c>
      <c r="AV181" s="9">
        <v>3</v>
      </c>
      <c r="AW181" s="73" t="s">
        <v>197</v>
      </c>
      <c r="AX181" s="9">
        <v>177.30012623080003</v>
      </c>
      <c r="AY181" s="288" t="s">
        <v>1564</v>
      </c>
      <c r="AZ181" s="9">
        <v>2.7373096343200003</v>
      </c>
      <c r="BA181" s="288" t="s">
        <v>121</v>
      </c>
      <c r="BB181" s="288" t="s">
        <v>1564</v>
      </c>
      <c r="BC181" s="9">
        <v>12.353854283200002</v>
      </c>
      <c r="BD181" s="288" t="s">
        <v>206</v>
      </c>
      <c r="BE181" s="288" t="s">
        <v>1564</v>
      </c>
      <c r="BF181" s="9">
        <v>12.241354650150001</v>
      </c>
      <c r="BG181" s="288" t="s">
        <v>121</v>
      </c>
      <c r="BH181" s="73" t="s">
        <v>197</v>
      </c>
      <c r="BI181" s="9">
        <v>11.692759135300001</v>
      </c>
      <c r="BJ181" s="73" t="s">
        <v>206</v>
      </c>
      <c r="BK181" s="288" t="s">
        <v>197</v>
      </c>
      <c r="BL181" s="9">
        <v>11.647812640731331</v>
      </c>
      <c r="BM181" s="74" t="s">
        <v>1510</v>
      </c>
      <c r="BN181" s="288" t="s">
        <v>1564</v>
      </c>
      <c r="BO181" s="9">
        <v>11.165920134588237</v>
      </c>
    </row>
    <row r="182" spans="1:67" x14ac:dyDescent="0.45">
      <c r="A182" s="10">
        <v>161</v>
      </c>
      <c r="B182" s="10" t="s">
        <v>1184</v>
      </c>
      <c r="C182" s="64" t="s">
        <v>1889</v>
      </c>
      <c r="D182" s="65"/>
      <c r="E182" s="58" t="s">
        <v>1903</v>
      </c>
      <c r="F182" s="77"/>
      <c r="G182" s="77" t="s">
        <v>1888</v>
      </c>
      <c r="H182" s="10"/>
      <c r="I182" s="62">
        <v>74.28820094000001</v>
      </c>
      <c r="J182" s="62">
        <v>69.546400880000007</v>
      </c>
      <c r="K182" s="62">
        <v>99.577801260000001</v>
      </c>
      <c r="L182" s="49">
        <v>618.21343243090018</v>
      </c>
      <c r="M182" s="49">
        <v>642.05370354313413</v>
      </c>
      <c r="N182" s="49">
        <v>661.7861747020637</v>
      </c>
      <c r="O182" s="61">
        <v>6.4749670322661634</v>
      </c>
      <c r="P182" s="60"/>
      <c r="Q182" s="15" t="s">
        <v>291</v>
      </c>
      <c r="R182" s="9">
        <v>4.5658336451200006</v>
      </c>
      <c r="S182" s="15" t="s">
        <v>1489</v>
      </c>
      <c r="T182" s="9">
        <v>7.3487504676800004</v>
      </c>
      <c r="U182" s="15" t="s">
        <v>291</v>
      </c>
      <c r="V182" s="9">
        <v>12.5</v>
      </c>
      <c r="W182" s="80" t="s">
        <v>1490</v>
      </c>
      <c r="X182" s="9">
        <v>38.144100470000005</v>
      </c>
      <c r="Y182" s="79" t="s">
        <v>23</v>
      </c>
      <c r="Z182" s="9">
        <v>13.242188624230771</v>
      </c>
      <c r="AA182" s="15" t="s">
        <v>1489</v>
      </c>
      <c r="AB182" s="72" t="s">
        <v>23</v>
      </c>
      <c r="AC182" s="9">
        <v>9.0801560277966118</v>
      </c>
      <c r="AD182" s="64" t="s">
        <v>291</v>
      </c>
      <c r="AE182" s="79" t="s">
        <v>23</v>
      </c>
      <c r="AF182" s="9">
        <v>8.675584643727273</v>
      </c>
      <c r="AG182" s="15" t="s">
        <v>1489</v>
      </c>
      <c r="AH182" s="55" t="s">
        <v>106</v>
      </c>
      <c r="AI182" s="9">
        <v>8.0596706017341049</v>
      </c>
      <c r="AJ182" s="15" t="s">
        <v>1489</v>
      </c>
      <c r="AK182" s="80" t="s">
        <v>1490</v>
      </c>
      <c r="AL182" s="9">
        <v>7.6779717710502293</v>
      </c>
      <c r="AM182" s="15" t="s">
        <v>291</v>
      </c>
      <c r="AN182" s="55" t="s">
        <v>106</v>
      </c>
      <c r="AO182" s="9">
        <v>7.2836919543125003</v>
      </c>
      <c r="AP182" s="60"/>
      <c r="AQ182" s="15" t="s">
        <v>291</v>
      </c>
      <c r="AR182" s="9">
        <v>3.8972398366600003</v>
      </c>
      <c r="AS182" s="15" t="s">
        <v>1489</v>
      </c>
      <c r="AT182" s="9">
        <v>3.3177918693280004</v>
      </c>
      <c r="AU182" s="64" t="s">
        <v>291</v>
      </c>
      <c r="AV182" s="9">
        <v>3.5</v>
      </c>
      <c r="AW182" s="71" t="s">
        <v>1490</v>
      </c>
      <c r="AX182" s="9">
        <v>49.287330611000009</v>
      </c>
      <c r="AY182" s="79" t="s">
        <v>23</v>
      </c>
      <c r="AZ182" s="9">
        <v>0.88917195099800006</v>
      </c>
      <c r="BA182" s="64" t="s">
        <v>1489</v>
      </c>
      <c r="BB182" s="79" t="s">
        <v>23</v>
      </c>
      <c r="BC182" s="9">
        <v>4.9001305493500009</v>
      </c>
      <c r="BD182" s="64" t="s">
        <v>291</v>
      </c>
      <c r="BE182" s="79" t="s">
        <v>23</v>
      </c>
      <c r="BF182" s="9">
        <v>4.7296464923579444</v>
      </c>
      <c r="BG182" s="64" t="s">
        <v>1489</v>
      </c>
      <c r="BH182" s="71" t="s">
        <v>1490</v>
      </c>
      <c r="BI182" s="9">
        <v>4.4390001313200012</v>
      </c>
      <c r="BJ182" s="15" t="s">
        <v>1489</v>
      </c>
      <c r="BK182" s="58" t="s">
        <v>106</v>
      </c>
      <c r="BL182" s="9">
        <v>4.2365562139264874</v>
      </c>
      <c r="BM182" s="15" t="s">
        <v>291</v>
      </c>
      <c r="BN182" s="80" t="s">
        <v>1490</v>
      </c>
      <c r="BO182" s="9">
        <v>3.9328772527532938</v>
      </c>
    </row>
    <row r="183" spans="1:67" x14ac:dyDescent="0.45">
      <c r="A183" s="10">
        <v>162</v>
      </c>
      <c r="B183" s="10" t="s">
        <v>1182</v>
      </c>
      <c r="C183" s="64" t="s">
        <v>1889</v>
      </c>
      <c r="D183" s="65"/>
      <c r="E183" s="58" t="s">
        <v>1903</v>
      </c>
      <c r="F183" s="77"/>
      <c r="G183" s="77" t="s">
        <v>1888</v>
      </c>
      <c r="H183" s="10"/>
      <c r="I183" s="62">
        <v>128.81890163</v>
      </c>
      <c r="J183" s="62">
        <v>110.64200140000001</v>
      </c>
      <c r="K183" s="62">
        <v>168.33390213000001</v>
      </c>
      <c r="L183" s="49">
        <v>1758.0264255604702</v>
      </c>
      <c r="M183" s="49">
        <v>1792.1766054978084</v>
      </c>
      <c r="N183" s="49">
        <v>1819.9737661216361</v>
      </c>
      <c r="O183" s="61">
        <v>16.769399871117578</v>
      </c>
      <c r="P183" s="60"/>
      <c r="Q183" s="15" t="s">
        <v>291</v>
      </c>
      <c r="R183" s="9">
        <v>7.18330727824</v>
      </c>
      <c r="S183" s="15" t="s">
        <v>291</v>
      </c>
      <c r="T183" s="9">
        <v>8.9791340977999994</v>
      </c>
      <c r="U183" s="15" t="s">
        <v>291</v>
      </c>
      <c r="V183" s="9">
        <v>12.5</v>
      </c>
      <c r="W183" s="64" t="s">
        <v>112</v>
      </c>
      <c r="X183" s="9">
        <v>116.93701146699999</v>
      </c>
      <c r="Y183" s="64" t="s">
        <v>112</v>
      </c>
      <c r="Z183" s="9">
        <v>30.772897754473682</v>
      </c>
      <c r="AA183" s="15" t="s">
        <v>291</v>
      </c>
      <c r="AB183" s="15" t="s">
        <v>112</v>
      </c>
      <c r="AC183" s="9">
        <v>15.997464766898302</v>
      </c>
      <c r="AD183" s="76" t="s">
        <v>266</v>
      </c>
      <c r="AE183" s="64" t="s">
        <v>112</v>
      </c>
      <c r="AF183" s="9">
        <v>14.616248969662792</v>
      </c>
      <c r="AG183" s="15" t="s">
        <v>291</v>
      </c>
      <c r="AH183" s="55" t="s">
        <v>106</v>
      </c>
      <c r="AI183" s="9">
        <v>11.884719825031249</v>
      </c>
      <c r="AJ183" s="15" t="s">
        <v>291</v>
      </c>
      <c r="AK183" s="80" t="s">
        <v>1490</v>
      </c>
      <c r="AL183" s="9">
        <v>11.64666519611494</v>
      </c>
      <c r="AM183" s="67" t="s">
        <v>266</v>
      </c>
      <c r="AN183" s="55" t="s">
        <v>106</v>
      </c>
      <c r="AO183" s="9">
        <v>11.007351324068265</v>
      </c>
      <c r="AP183" s="60"/>
      <c r="AQ183" s="15" t="s">
        <v>291</v>
      </c>
      <c r="AR183" s="9">
        <v>6.0239371635700003</v>
      </c>
      <c r="AS183" s="15" t="s">
        <v>291</v>
      </c>
      <c r="AT183" s="9">
        <v>3.0119685817850002</v>
      </c>
      <c r="AU183" s="64" t="s">
        <v>2473</v>
      </c>
      <c r="AV183" s="9">
        <v>3.5</v>
      </c>
      <c r="AW183" s="15" t="s">
        <v>112</v>
      </c>
      <c r="AX183" s="9">
        <v>151.71811490710002</v>
      </c>
      <c r="AY183" s="64" t="s">
        <v>112</v>
      </c>
      <c r="AZ183" s="9">
        <v>1.8964764363387503</v>
      </c>
      <c r="BA183" s="64" t="s">
        <v>291</v>
      </c>
      <c r="BB183" s="64" t="s">
        <v>112</v>
      </c>
      <c r="BC183" s="9">
        <v>9.2451603439239527</v>
      </c>
      <c r="BD183" s="76" t="s">
        <v>266</v>
      </c>
      <c r="BE183" s="64" t="s">
        <v>112</v>
      </c>
      <c r="BF183" s="9">
        <v>8.8440475963335334</v>
      </c>
      <c r="BG183" s="64" t="s">
        <v>291</v>
      </c>
      <c r="BH183" s="71" t="s">
        <v>1490</v>
      </c>
      <c r="BI183" s="9">
        <v>6.4373711107910179</v>
      </c>
      <c r="BJ183" s="67" t="s">
        <v>266</v>
      </c>
      <c r="BK183" s="80" t="s">
        <v>1490</v>
      </c>
      <c r="BL183" s="9">
        <v>6.0362583632005995</v>
      </c>
      <c r="BM183" s="15" t="s">
        <v>291</v>
      </c>
      <c r="BN183" s="58" t="s">
        <v>106</v>
      </c>
      <c r="BO183" s="9">
        <v>5.8738727492409089</v>
      </c>
    </row>
    <row r="184" spans="1:67" x14ac:dyDescent="0.45">
      <c r="A184" s="10">
        <v>163</v>
      </c>
      <c r="B184" s="10" t="s">
        <v>1179</v>
      </c>
      <c r="C184" s="64" t="s">
        <v>2110</v>
      </c>
      <c r="D184" s="65"/>
      <c r="E184" s="56" t="s">
        <v>2208</v>
      </c>
      <c r="F184" s="289" t="s">
        <v>2118</v>
      </c>
      <c r="G184" s="80" t="s">
        <v>2191</v>
      </c>
      <c r="H184" s="10"/>
      <c r="I184" s="62">
        <v>64.804600820000005</v>
      </c>
      <c r="J184" s="62">
        <v>81.40090103</v>
      </c>
      <c r="K184" s="62">
        <v>134.35100170000001</v>
      </c>
      <c r="L184" s="49">
        <v>677.70532845923606</v>
      </c>
      <c r="M184" s="49">
        <v>794.90880427166599</v>
      </c>
      <c r="N184" s="49">
        <v>903.10538668538538</v>
      </c>
      <c r="O184" s="61">
        <v>10.113078861175898</v>
      </c>
      <c r="P184" s="60"/>
      <c r="Q184" s="16" t="s">
        <v>1515</v>
      </c>
      <c r="R184" s="9">
        <v>4.8882760491999999</v>
      </c>
      <c r="S184" s="16" t="s">
        <v>1515</v>
      </c>
      <c r="T184" s="9">
        <v>4.8882760491999999</v>
      </c>
      <c r="U184" s="67" t="s">
        <v>2400</v>
      </c>
      <c r="V184" s="9">
        <v>10</v>
      </c>
      <c r="W184" s="287" t="s">
        <v>229</v>
      </c>
      <c r="X184" s="9">
        <v>32.106208393599999</v>
      </c>
      <c r="Y184" s="287" t="s">
        <v>229</v>
      </c>
      <c r="Z184" s="9">
        <v>16.0531041968</v>
      </c>
      <c r="AA184" s="16" t="s">
        <v>1515</v>
      </c>
      <c r="AB184" s="16" t="s">
        <v>229</v>
      </c>
      <c r="AC184" s="9">
        <v>8.0782269485142866</v>
      </c>
      <c r="AD184" s="76" t="s">
        <v>14</v>
      </c>
      <c r="AE184" s="287" t="s">
        <v>229</v>
      </c>
      <c r="AF184" s="9">
        <v>7.9518631363873018</v>
      </c>
      <c r="AG184" s="16" t="s">
        <v>1515</v>
      </c>
      <c r="AH184" s="16" t="s">
        <v>203</v>
      </c>
      <c r="AI184" s="9">
        <v>6.7464718199883729</v>
      </c>
      <c r="AJ184" s="67" t="s">
        <v>14</v>
      </c>
      <c r="AK184" s="287" t="s">
        <v>203</v>
      </c>
      <c r="AL184" s="9">
        <v>6.643617554303618</v>
      </c>
      <c r="AM184" s="16" t="s">
        <v>1515</v>
      </c>
      <c r="AN184" s="68" t="s">
        <v>129</v>
      </c>
      <c r="AO184" s="9">
        <v>5.9056263805263161</v>
      </c>
      <c r="AP184" s="60"/>
      <c r="AQ184" s="16" t="s">
        <v>1515</v>
      </c>
      <c r="AR184" s="9">
        <v>4.0328553183760008</v>
      </c>
      <c r="AS184" s="16" t="s">
        <v>1515</v>
      </c>
      <c r="AT184" s="9">
        <v>2.0164276591880004</v>
      </c>
      <c r="AU184" s="76" t="s">
        <v>14</v>
      </c>
      <c r="AV184" s="9">
        <v>3</v>
      </c>
      <c r="AW184" s="16" t="s">
        <v>229</v>
      </c>
      <c r="AX184" s="9">
        <v>41.438070911680008</v>
      </c>
      <c r="AY184" s="287" t="s">
        <v>229</v>
      </c>
      <c r="AZ184" s="9">
        <v>0.92084602025955575</v>
      </c>
      <c r="BA184" s="76" t="s">
        <v>14</v>
      </c>
      <c r="BB184" s="287" t="s">
        <v>229</v>
      </c>
      <c r="BC184" s="9">
        <v>4.2433385407206261</v>
      </c>
      <c r="BD184" s="287" t="s">
        <v>1515</v>
      </c>
      <c r="BE184" s="287" t="s">
        <v>229</v>
      </c>
      <c r="BF184" s="9">
        <v>4.0912509882665269</v>
      </c>
      <c r="BG184" s="76" t="s">
        <v>14</v>
      </c>
      <c r="BH184" s="16" t="s">
        <v>203</v>
      </c>
      <c r="BI184" s="9">
        <v>3.4535324682268755</v>
      </c>
      <c r="BJ184" s="16" t="s">
        <v>1515</v>
      </c>
      <c r="BK184" s="287" t="s">
        <v>203</v>
      </c>
      <c r="BL184" s="9">
        <v>3.4261511377454745</v>
      </c>
      <c r="BM184" s="16" t="s">
        <v>1515</v>
      </c>
      <c r="BN184" s="77" t="s">
        <v>129</v>
      </c>
      <c r="BO184" s="9">
        <v>3.0710957748667833</v>
      </c>
    </row>
    <row r="185" spans="1:67" x14ac:dyDescent="0.45">
      <c r="A185" s="10">
        <v>164</v>
      </c>
      <c r="B185" s="10" t="s">
        <v>130</v>
      </c>
      <c r="C185" s="64" t="s">
        <v>2110</v>
      </c>
      <c r="D185" s="65"/>
      <c r="E185" s="56" t="s">
        <v>2208</v>
      </c>
      <c r="F185" s="289" t="s">
        <v>2118</v>
      </c>
      <c r="G185" s="80" t="s">
        <v>2191</v>
      </c>
      <c r="H185" s="10"/>
      <c r="I185" s="62">
        <v>126.44800160000001</v>
      </c>
      <c r="J185" s="62">
        <v>135.14130171000002</v>
      </c>
      <c r="K185" s="62">
        <v>189.67200240000003</v>
      </c>
      <c r="L185" s="49">
        <v>2024.4526970054067</v>
      </c>
      <c r="M185" s="49">
        <v>2190.1248087629328</v>
      </c>
      <c r="N185" s="49">
        <v>2332.3721638855595</v>
      </c>
      <c r="O185" s="61">
        <v>22.580908001202054</v>
      </c>
      <c r="P185" s="60"/>
      <c r="Q185" s="57" t="s">
        <v>34</v>
      </c>
      <c r="R185" s="9">
        <v>8.5868800960000016</v>
      </c>
      <c r="S185" s="16" t="s">
        <v>1505</v>
      </c>
      <c r="T185" s="9">
        <v>8.8368800959999998</v>
      </c>
      <c r="U185" s="16" t="s">
        <v>1505</v>
      </c>
      <c r="V185" s="9">
        <v>11.25</v>
      </c>
      <c r="W185" s="287" t="s">
        <v>229</v>
      </c>
      <c r="X185" s="9">
        <v>61.695040768000005</v>
      </c>
      <c r="Y185" s="287" t="s">
        <v>229</v>
      </c>
      <c r="Z185" s="9">
        <v>30.847520384000003</v>
      </c>
      <c r="AA185" s="16" t="s">
        <v>1505</v>
      </c>
      <c r="AB185" s="16" t="s">
        <v>229</v>
      </c>
      <c r="AC185" s="9">
        <v>15.66776846124138</v>
      </c>
      <c r="AD185" s="242" t="s">
        <v>34</v>
      </c>
      <c r="AE185" s="287" t="s">
        <v>229</v>
      </c>
      <c r="AF185" s="9">
        <v>14.80613283564557</v>
      </c>
      <c r="AG185" s="16" t="s">
        <v>1505</v>
      </c>
      <c r="AH185" s="57" t="s">
        <v>82</v>
      </c>
      <c r="AI185" s="9">
        <v>13.413951078527608</v>
      </c>
      <c r="AJ185" s="57" t="s">
        <v>34</v>
      </c>
      <c r="AK185" s="242" t="s">
        <v>82</v>
      </c>
      <c r="AL185" s="9">
        <v>12.688072386455982</v>
      </c>
      <c r="AM185" s="16" t="s">
        <v>1505</v>
      </c>
      <c r="AN185" s="68" t="s">
        <v>129</v>
      </c>
      <c r="AO185" s="9">
        <v>11.102284040378549</v>
      </c>
      <c r="AP185" s="60"/>
      <c r="AQ185" s="57" t="s">
        <v>34</v>
      </c>
      <c r="AR185" s="9">
        <v>7.5752960832000005</v>
      </c>
      <c r="AS185" s="16" t="s">
        <v>1505</v>
      </c>
      <c r="AT185" s="9">
        <v>2.9657360312000005</v>
      </c>
      <c r="AU185" s="287" t="s">
        <v>1505</v>
      </c>
      <c r="AV185" s="9">
        <v>3.5</v>
      </c>
      <c r="AW185" s="16" t="s">
        <v>229</v>
      </c>
      <c r="AX185" s="9">
        <v>79.903552998400016</v>
      </c>
      <c r="AY185" s="287" t="s">
        <v>229</v>
      </c>
      <c r="AZ185" s="9">
        <v>1.7756345110755558</v>
      </c>
      <c r="BA185" s="287" t="s">
        <v>1505</v>
      </c>
      <c r="BB185" s="287" t="s">
        <v>229</v>
      </c>
      <c r="BC185" s="9">
        <v>8.5179496267711343</v>
      </c>
      <c r="BD185" s="242" t="s">
        <v>34</v>
      </c>
      <c r="BE185" s="287" t="s">
        <v>229</v>
      </c>
      <c r="BF185" s="9">
        <v>7.8615438188137938</v>
      </c>
      <c r="BG185" s="287" t="s">
        <v>1505</v>
      </c>
      <c r="BH185" s="57" t="s">
        <v>82</v>
      </c>
      <c r="BI185" s="9">
        <v>7.2738079485811973</v>
      </c>
      <c r="BJ185" s="57" t="s">
        <v>34</v>
      </c>
      <c r="BK185" s="242" t="s">
        <v>82</v>
      </c>
      <c r="BL185" s="9">
        <v>6.664926251062858</v>
      </c>
      <c r="BM185" s="16" t="s">
        <v>1505</v>
      </c>
      <c r="BN185" s="77" t="s">
        <v>129</v>
      </c>
      <c r="BO185" s="9">
        <v>5.7985812632478639</v>
      </c>
    </row>
    <row r="186" spans="1:67" x14ac:dyDescent="0.45">
      <c r="A186" s="10">
        <v>165</v>
      </c>
      <c r="B186" s="10" t="s">
        <v>1175</v>
      </c>
      <c r="C186" s="287" t="s">
        <v>2108</v>
      </c>
      <c r="D186" s="56" t="s">
        <v>2025</v>
      </c>
      <c r="E186" s="287" t="s">
        <v>2205</v>
      </c>
      <c r="F186" s="289" t="s">
        <v>1887</v>
      </c>
      <c r="G186" s="58" t="s">
        <v>2164</v>
      </c>
      <c r="H186" s="80" t="s">
        <v>1892</v>
      </c>
      <c r="I186" s="62">
        <v>68.756100870000012</v>
      </c>
      <c r="J186" s="62">
        <v>105.10990133000001</v>
      </c>
      <c r="K186" s="62">
        <v>106.69050135000001</v>
      </c>
      <c r="L186" s="49">
        <v>728.10821691290028</v>
      </c>
      <c r="M186" s="49">
        <v>840.8536549122548</v>
      </c>
      <c r="N186" s="49">
        <v>943.49587007532523</v>
      </c>
      <c r="O186" s="61">
        <v>10.147613424013672</v>
      </c>
      <c r="P186" s="60"/>
      <c r="Q186" s="69" t="s">
        <v>38</v>
      </c>
      <c r="R186" s="9">
        <v>3.0626830261000002</v>
      </c>
      <c r="S186" s="69" t="s">
        <v>38</v>
      </c>
      <c r="T186" s="9">
        <v>6.1253660522000004</v>
      </c>
      <c r="U186" s="69" t="s">
        <v>38</v>
      </c>
      <c r="V186" s="9">
        <v>12</v>
      </c>
      <c r="W186" s="289" t="s">
        <v>1509</v>
      </c>
      <c r="X186" s="9">
        <v>29.877562365400003</v>
      </c>
      <c r="Y186" s="287" t="s">
        <v>203</v>
      </c>
      <c r="Z186" s="9">
        <v>9.8706305362916673</v>
      </c>
      <c r="AA186" s="69" t="s">
        <v>38</v>
      </c>
      <c r="AB186" s="16" t="s">
        <v>203</v>
      </c>
      <c r="AC186" s="9">
        <v>7.8613684740107299</v>
      </c>
      <c r="AD186" s="64" t="s">
        <v>127</v>
      </c>
      <c r="AE186" s="287" t="s">
        <v>203</v>
      </c>
      <c r="AF186" s="9">
        <v>7.2934064125755826</v>
      </c>
      <c r="AG186" s="69" t="s">
        <v>38</v>
      </c>
      <c r="AH186" s="69" t="s">
        <v>1509</v>
      </c>
      <c r="AI186" s="9">
        <v>7.2389744870257298</v>
      </c>
      <c r="AJ186" s="15" t="s">
        <v>127</v>
      </c>
      <c r="AK186" s="289" t="s">
        <v>1509</v>
      </c>
      <c r="AL186" s="9">
        <v>6.8251534374976321</v>
      </c>
      <c r="AM186" s="69" t="s">
        <v>38</v>
      </c>
      <c r="AN186" s="15" t="s">
        <v>120</v>
      </c>
      <c r="AO186" s="9">
        <v>6.7678261452392352</v>
      </c>
      <c r="AP186" s="60"/>
      <c r="AQ186" s="69" t="s">
        <v>38</v>
      </c>
      <c r="AR186" s="9">
        <v>2.6088927603580001</v>
      </c>
      <c r="AS186" s="69" t="s">
        <v>38</v>
      </c>
      <c r="AT186" s="9">
        <v>2.6088927603580001</v>
      </c>
      <c r="AU186" s="289" t="s">
        <v>38</v>
      </c>
      <c r="AV186" s="9">
        <v>3</v>
      </c>
      <c r="AW186" s="69" t="s">
        <v>1509</v>
      </c>
      <c r="AX186" s="9">
        <v>38.540831075020009</v>
      </c>
      <c r="AY186" s="289" t="s">
        <v>1509</v>
      </c>
      <c r="AZ186" s="9">
        <v>0.8564629127782224</v>
      </c>
      <c r="BA186" s="289" t="s">
        <v>38</v>
      </c>
      <c r="BB186" s="289" t="s">
        <v>1509</v>
      </c>
      <c r="BC186" s="9">
        <v>4.8546389050243759</v>
      </c>
      <c r="BD186" s="289" t="s">
        <v>38</v>
      </c>
      <c r="BE186" s="287" t="s">
        <v>203</v>
      </c>
      <c r="BF186" s="9">
        <v>4.3518599174125008</v>
      </c>
      <c r="BG186" s="289" t="s">
        <v>38</v>
      </c>
      <c r="BH186" s="15" t="s">
        <v>120</v>
      </c>
      <c r="BI186" s="9">
        <v>3.9126506868550006</v>
      </c>
      <c r="BJ186" s="15" t="s">
        <v>127</v>
      </c>
      <c r="BK186" s="289" t="s">
        <v>1509</v>
      </c>
      <c r="BL186" s="9">
        <v>3.8811732056056387</v>
      </c>
      <c r="BM186" s="15" t="s">
        <v>127</v>
      </c>
      <c r="BN186" s="287" t="s">
        <v>203</v>
      </c>
      <c r="BO186" s="9">
        <v>3.5388555970188302</v>
      </c>
    </row>
    <row r="187" spans="1:67" x14ac:dyDescent="0.45">
      <c r="A187" s="10">
        <v>166</v>
      </c>
      <c r="B187" s="10" t="s">
        <v>1173</v>
      </c>
      <c r="C187" s="287" t="s">
        <v>2108</v>
      </c>
      <c r="D187" s="56" t="s">
        <v>2025</v>
      </c>
      <c r="E187" s="287" t="s">
        <v>2205</v>
      </c>
      <c r="F187" s="289" t="s">
        <v>1887</v>
      </c>
      <c r="G187" s="58" t="s">
        <v>2164</v>
      </c>
      <c r="H187" s="80" t="s">
        <v>1892</v>
      </c>
      <c r="I187" s="62">
        <v>96.416601220000004</v>
      </c>
      <c r="J187" s="62">
        <v>153.31820194000002</v>
      </c>
      <c r="K187" s="62">
        <v>127.23830161000001</v>
      </c>
      <c r="L187" s="49">
        <v>1346.6589088661531</v>
      </c>
      <c r="M187" s="49">
        <v>1523.7332081068646</v>
      </c>
      <c r="N187" s="49">
        <v>1682.0154935940632</v>
      </c>
      <c r="O187" s="61">
        <v>16.914627366437323</v>
      </c>
      <c r="P187" s="60"/>
      <c r="Q187" s="69" t="s">
        <v>1523</v>
      </c>
      <c r="R187" s="9">
        <v>9.6774941097999996</v>
      </c>
      <c r="S187" s="69" t="s">
        <v>38</v>
      </c>
      <c r="T187" s="9">
        <v>7.7849960732000003</v>
      </c>
      <c r="U187" s="69" t="s">
        <v>38</v>
      </c>
      <c r="V187" s="9">
        <v>12</v>
      </c>
      <c r="W187" s="289" t="s">
        <v>126</v>
      </c>
      <c r="X187" s="9">
        <v>53.064964658800001</v>
      </c>
      <c r="Y187" s="289" t="s">
        <v>126</v>
      </c>
      <c r="Z187" s="9">
        <v>14.341882340216216</v>
      </c>
      <c r="AA187" s="69" t="s">
        <v>38</v>
      </c>
      <c r="AB187" s="69" t="s">
        <v>126</v>
      </c>
      <c r="AC187" s="9">
        <v>10.868955292008476</v>
      </c>
      <c r="AD187" s="289" t="s">
        <v>38</v>
      </c>
      <c r="AE187" s="287" t="s">
        <v>203</v>
      </c>
      <c r="AF187" s="9">
        <v>10.514639644922749</v>
      </c>
      <c r="AG187" s="69" t="s">
        <v>1523</v>
      </c>
      <c r="AH187" s="69" t="s">
        <v>126</v>
      </c>
      <c r="AI187" s="9">
        <v>9.8072733744980827</v>
      </c>
      <c r="AJ187" s="69" t="s">
        <v>38</v>
      </c>
      <c r="AK187" s="289" t="s">
        <v>1509</v>
      </c>
      <c r="AL187" s="9">
        <v>9.7440764055162958</v>
      </c>
      <c r="AM187" s="69" t="s">
        <v>1523</v>
      </c>
      <c r="AN187" s="16" t="s">
        <v>203</v>
      </c>
      <c r="AO187" s="9">
        <v>9.4749455003759699</v>
      </c>
      <c r="AP187" s="60"/>
      <c r="AQ187" s="69" t="s">
        <v>1523</v>
      </c>
      <c r="AR187" s="9">
        <v>7.7684454056440009</v>
      </c>
      <c r="AS187" s="69" t="s">
        <v>38</v>
      </c>
      <c r="AT187" s="9">
        <v>3.256148468548</v>
      </c>
      <c r="AU187" s="289" t="s">
        <v>38</v>
      </c>
      <c r="AV187" s="9">
        <v>3</v>
      </c>
      <c r="AW187" s="69" t="s">
        <v>126</v>
      </c>
      <c r="AX187" s="9">
        <v>68.684454056440003</v>
      </c>
      <c r="AY187" s="289" t="s">
        <v>1509</v>
      </c>
      <c r="AZ187" s="9">
        <v>1.1920769836915557</v>
      </c>
      <c r="BA187" s="289" t="s">
        <v>38</v>
      </c>
      <c r="BB187" s="289" t="s">
        <v>1509</v>
      </c>
      <c r="BC187" s="9">
        <v>6.40535570589625</v>
      </c>
      <c r="BD187" s="289" t="s">
        <v>38</v>
      </c>
      <c r="BE187" s="289" t="s">
        <v>126</v>
      </c>
      <c r="BF187" s="9">
        <v>6.371782067971429</v>
      </c>
      <c r="BG187" s="289" t="s">
        <v>38</v>
      </c>
      <c r="BH187" s="16" t="s">
        <v>203</v>
      </c>
      <c r="BI187" s="9">
        <v>5.7003093094750001</v>
      </c>
      <c r="BJ187" s="69" t="s">
        <v>1523</v>
      </c>
      <c r="BK187" s="289" t="s">
        <v>1509</v>
      </c>
      <c r="BL187" s="9">
        <v>5.4456486530275532</v>
      </c>
      <c r="BM187" s="69" t="s">
        <v>1523</v>
      </c>
      <c r="BN187" s="289" t="s">
        <v>126</v>
      </c>
      <c r="BO187" s="9">
        <v>5.4020338127136176</v>
      </c>
    </row>
    <row r="188" spans="1:67" x14ac:dyDescent="0.45">
      <c r="A188" s="10">
        <v>167</v>
      </c>
      <c r="B188" s="10" t="s">
        <v>1171</v>
      </c>
      <c r="C188" s="63" t="s">
        <v>2109</v>
      </c>
      <c r="D188" s="65"/>
      <c r="E188" s="287" t="s">
        <v>2206</v>
      </c>
      <c r="F188" s="63" t="s">
        <v>2207</v>
      </c>
      <c r="G188" s="58" t="s">
        <v>2164</v>
      </c>
      <c r="H188" s="10"/>
      <c r="I188" s="62">
        <v>94.836001200000013</v>
      </c>
      <c r="J188" s="62">
        <v>69.546400880000007</v>
      </c>
      <c r="K188" s="62">
        <v>106.69050135000001</v>
      </c>
      <c r="L188" s="49">
        <v>816.90854944478156</v>
      </c>
      <c r="M188" s="49">
        <v>791.13226952862942</v>
      </c>
      <c r="N188" s="49">
        <v>771.09808719443799</v>
      </c>
      <c r="O188" s="61">
        <v>6.9374646774280322</v>
      </c>
      <c r="P188" s="60"/>
      <c r="Q188" s="54" t="s">
        <v>2374</v>
      </c>
      <c r="R188" s="9">
        <v>3.8450800360000001</v>
      </c>
      <c r="S188" s="69" t="s">
        <v>38</v>
      </c>
      <c r="T188" s="9">
        <v>7.6901600720000003</v>
      </c>
      <c r="U188" s="69" t="s">
        <v>38</v>
      </c>
      <c r="V188" s="9">
        <v>12</v>
      </c>
      <c r="W188" s="289" t="s">
        <v>1534</v>
      </c>
      <c r="X188" s="9">
        <v>43.676200540000004</v>
      </c>
      <c r="Y188" s="63" t="s">
        <v>1511</v>
      </c>
      <c r="Z188" s="9">
        <v>15.840426858666667</v>
      </c>
      <c r="AA188" s="69" t="s">
        <v>38</v>
      </c>
      <c r="AB188" s="69" t="s">
        <v>1534</v>
      </c>
      <c r="AC188" s="9">
        <v>10.714886911320756</v>
      </c>
      <c r="AD188" s="289" t="s">
        <v>38</v>
      </c>
      <c r="AE188" s="63" t="s">
        <v>1511</v>
      </c>
      <c r="AF188" s="9">
        <v>10.548045828363636</v>
      </c>
      <c r="AG188" s="54" t="s">
        <v>92</v>
      </c>
      <c r="AH188" s="69" t="s">
        <v>1534</v>
      </c>
      <c r="AI188" s="9">
        <v>9.9003460353876758</v>
      </c>
      <c r="AJ188" s="54" t="s">
        <v>92</v>
      </c>
      <c r="AK188" s="63" t="s">
        <v>1511</v>
      </c>
      <c r="AL188" s="9">
        <v>9.6555349688306027</v>
      </c>
      <c r="AM188" s="69" t="s">
        <v>38</v>
      </c>
      <c r="AN188" s="67" t="s">
        <v>1491</v>
      </c>
      <c r="AO188" s="9">
        <v>9.2552456361607156</v>
      </c>
      <c r="AP188" s="60"/>
      <c r="AQ188" s="54" t="s">
        <v>2374</v>
      </c>
      <c r="AR188" s="9">
        <v>3.2191624280800002</v>
      </c>
      <c r="AS188" s="69" t="s">
        <v>38</v>
      </c>
      <c r="AT188" s="9">
        <v>3.2191624280800002</v>
      </c>
      <c r="AU188" s="63" t="s">
        <v>2450</v>
      </c>
      <c r="AV188" s="9">
        <v>3</v>
      </c>
      <c r="AW188" s="69" t="s">
        <v>1534</v>
      </c>
      <c r="AX188" s="9">
        <v>56.479060702000012</v>
      </c>
      <c r="AY188" s="289" t="s">
        <v>1534</v>
      </c>
      <c r="AZ188" s="9">
        <v>1.0268920127636365</v>
      </c>
      <c r="BA188" s="289" t="s">
        <v>38</v>
      </c>
      <c r="BB188" s="289" t="s">
        <v>1534</v>
      </c>
      <c r="BC188" s="9">
        <v>5.973984752593104</v>
      </c>
      <c r="BD188" s="289" t="s">
        <v>38</v>
      </c>
      <c r="BE188" s="76" t="s">
        <v>1491</v>
      </c>
      <c r="BF188" s="9">
        <v>5.4772575303368427</v>
      </c>
      <c r="BG188" s="289" t="s">
        <v>38</v>
      </c>
      <c r="BH188" s="54" t="s">
        <v>1511</v>
      </c>
      <c r="BI188" s="9">
        <v>5.3799258448947374</v>
      </c>
      <c r="BJ188" s="54" t="s">
        <v>92</v>
      </c>
      <c r="BK188" s="289" t="s">
        <v>1534</v>
      </c>
      <c r="BL188" s="9">
        <v>4.4476577392793111</v>
      </c>
      <c r="BM188" s="54" t="s">
        <v>92</v>
      </c>
      <c r="BN188" s="76" t="s">
        <v>1491</v>
      </c>
      <c r="BO188" s="9">
        <v>3.9947485174052639</v>
      </c>
    </row>
    <row r="189" spans="1:67" x14ac:dyDescent="0.45">
      <c r="A189" s="10">
        <v>168</v>
      </c>
      <c r="B189" s="10" t="s">
        <v>152</v>
      </c>
      <c r="C189" s="63" t="s">
        <v>2109</v>
      </c>
      <c r="D189" s="65"/>
      <c r="E189" s="287" t="s">
        <v>2206</v>
      </c>
      <c r="F189" s="63" t="s">
        <v>2207</v>
      </c>
      <c r="G189" s="58" t="s">
        <v>2164</v>
      </c>
      <c r="H189" s="10"/>
      <c r="I189" s="62">
        <v>139.09280176000001</v>
      </c>
      <c r="J189" s="62">
        <v>109.85170139</v>
      </c>
      <c r="K189" s="62">
        <v>147.78610187000001</v>
      </c>
      <c r="L189" s="49">
        <v>1772.2494329971462</v>
      </c>
      <c r="M189" s="49">
        <v>1721.1947970868664</v>
      </c>
      <c r="N189" s="49">
        <v>1681.4120961573014</v>
      </c>
      <c r="O189" s="61">
        <v>14.627679276323935</v>
      </c>
      <c r="P189" s="60"/>
      <c r="Q189" s="69" t="s">
        <v>10</v>
      </c>
      <c r="R189" s="9">
        <v>9.3455681056</v>
      </c>
      <c r="S189" s="54" t="s">
        <v>92</v>
      </c>
      <c r="T189" s="9">
        <v>8.6213067546666675</v>
      </c>
      <c r="U189" s="69" t="s">
        <v>10</v>
      </c>
      <c r="V189" s="9">
        <v>12.727</v>
      </c>
      <c r="W189" s="289" t="s">
        <v>97</v>
      </c>
      <c r="X189" s="9">
        <v>76.110112950400008</v>
      </c>
      <c r="Y189" s="289" t="s">
        <v>97</v>
      </c>
      <c r="Z189" s="9">
        <v>34.595505886545453</v>
      </c>
      <c r="AA189" s="69" t="s">
        <v>10</v>
      </c>
      <c r="AB189" s="54" t="s">
        <v>1511</v>
      </c>
      <c r="AC189" s="9">
        <v>13.749203770524854</v>
      </c>
      <c r="AD189" s="63" t="s">
        <v>92</v>
      </c>
      <c r="AE189" s="289" t="s">
        <v>97</v>
      </c>
      <c r="AF189" s="9">
        <v>13.723381584142858</v>
      </c>
      <c r="AG189" s="69" t="s">
        <v>10</v>
      </c>
      <c r="AH189" s="69" t="s">
        <v>97</v>
      </c>
      <c r="AI189" s="9">
        <v>13.715877981381817</v>
      </c>
      <c r="AJ189" s="54" t="s">
        <v>92</v>
      </c>
      <c r="AK189" s="63" t="s">
        <v>1511</v>
      </c>
      <c r="AL189" s="9">
        <v>13.544329247545356</v>
      </c>
      <c r="AM189" s="69" t="s">
        <v>10</v>
      </c>
      <c r="AN189" s="68" t="s">
        <v>151</v>
      </c>
      <c r="AO189" s="9">
        <v>10.513508322001726</v>
      </c>
      <c r="AP189" s="60"/>
      <c r="AQ189" s="69" t="s">
        <v>10</v>
      </c>
      <c r="AR189" s="9">
        <v>7.5095431223680009</v>
      </c>
      <c r="AS189" s="69" t="s">
        <v>10</v>
      </c>
      <c r="AT189" s="9">
        <v>2.5031810407893338</v>
      </c>
      <c r="AU189" s="289" t="s">
        <v>10</v>
      </c>
      <c r="AV189" s="9">
        <v>3.6666666666666998</v>
      </c>
      <c r="AW189" s="69" t="s">
        <v>97</v>
      </c>
      <c r="AX189" s="9">
        <v>98.643146835520014</v>
      </c>
      <c r="AY189" s="289" t="s">
        <v>97</v>
      </c>
      <c r="AZ189" s="9">
        <v>1.7935117606458184</v>
      </c>
      <c r="BA189" s="289" t="s">
        <v>10</v>
      </c>
      <c r="BB189" s="289" t="s">
        <v>97</v>
      </c>
      <c r="BC189" s="9">
        <v>8.5119289029600012</v>
      </c>
      <c r="BD189" s="63" t="s">
        <v>92</v>
      </c>
      <c r="BE189" s="289" t="s">
        <v>97</v>
      </c>
      <c r="BF189" s="9">
        <v>7.1195803179158625</v>
      </c>
      <c r="BG189" s="289" t="s">
        <v>10</v>
      </c>
      <c r="BH189" s="54" t="s">
        <v>1511</v>
      </c>
      <c r="BI189" s="9">
        <v>6.475866421751725</v>
      </c>
      <c r="BJ189" s="69" t="s">
        <v>10</v>
      </c>
      <c r="BK189" s="77" t="s">
        <v>151</v>
      </c>
      <c r="BL189" s="9">
        <v>5.7957959369764387</v>
      </c>
      <c r="BM189" s="54" t="s">
        <v>92</v>
      </c>
      <c r="BN189" s="63" t="s">
        <v>1511</v>
      </c>
      <c r="BO189" s="9">
        <v>5.4644569675810537</v>
      </c>
    </row>
    <row r="190" spans="1:67" x14ac:dyDescent="0.45">
      <c r="A190" s="10">
        <v>169</v>
      </c>
      <c r="B190" s="10" t="s">
        <v>257</v>
      </c>
      <c r="C190" s="63" t="s">
        <v>2117</v>
      </c>
      <c r="D190" s="65"/>
      <c r="E190" s="56" t="s">
        <v>2227</v>
      </c>
      <c r="F190" s="63" t="s">
        <v>2228</v>
      </c>
      <c r="G190" s="58" t="s">
        <v>2229</v>
      </c>
      <c r="H190" s="10"/>
      <c r="I190" s="62">
        <v>165.17270209</v>
      </c>
      <c r="J190" s="62">
        <v>152.52790193000001</v>
      </c>
      <c r="K190" s="62">
        <v>168.33390213000001</v>
      </c>
      <c r="L190" s="49">
        <v>2646.6634336840011</v>
      </c>
      <c r="M190" s="49">
        <v>2620.0290535192207</v>
      </c>
      <c r="N190" s="49">
        <v>2598.9146622127487</v>
      </c>
      <c r="O190" s="61">
        <v>22.277653211330495</v>
      </c>
      <c r="P190" s="60"/>
      <c r="Q190" s="16" t="s">
        <v>158</v>
      </c>
      <c r="R190" s="9">
        <v>14.874506975559999</v>
      </c>
      <c r="S190" s="16" t="s">
        <v>158</v>
      </c>
      <c r="T190" s="9">
        <v>12.395422479633334</v>
      </c>
      <c r="U190" s="16" t="s">
        <v>158</v>
      </c>
      <c r="V190" s="9">
        <v>8.33</v>
      </c>
      <c r="W190" s="77" t="s">
        <v>73</v>
      </c>
      <c r="X190" s="9">
        <v>83.586351045000001</v>
      </c>
      <c r="Y190" s="64" t="s">
        <v>52</v>
      </c>
      <c r="Z190" s="9">
        <v>42.721746951071431</v>
      </c>
      <c r="AA190" s="16" t="s">
        <v>158</v>
      </c>
      <c r="AB190" s="54" t="s">
        <v>124</v>
      </c>
      <c r="AC190" s="9">
        <v>18.633184563975906</v>
      </c>
      <c r="AD190" s="76" t="s">
        <v>66</v>
      </c>
      <c r="AE190" s="63" t="s">
        <v>124</v>
      </c>
      <c r="AF190" s="9">
        <v>18.096217577421051</v>
      </c>
      <c r="AG190" s="16" t="s">
        <v>158</v>
      </c>
      <c r="AH190" s="68" t="s">
        <v>73</v>
      </c>
      <c r="AI190" s="9">
        <v>17.550987324755553</v>
      </c>
      <c r="AJ190" s="67" t="s">
        <v>66</v>
      </c>
      <c r="AK190" s="77" t="s">
        <v>73</v>
      </c>
      <c r="AL190" s="9">
        <v>17.083904251756756</v>
      </c>
      <c r="AM190" s="16" t="s">
        <v>158</v>
      </c>
      <c r="AN190" s="15" t="s">
        <v>52</v>
      </c>
      <c r="AO190" s="9">
        <v>16.912109103039008</v>
      </c>
      <c r="AP190" s="60"/>
      <c r="AQ190" s="16" t="s">
        <v>158</v>
      </c>
      <c r="AR190" s="9">
        <v>12.595123686718001</v>
      </c>
      <c r="AS190" s="67" t="s">
        <v>66</v>
      </c>
      <c r="AT190" s="9">
        <v>5.2944902543400003</v>
      </c>
      <c r="AU190" s="287" t="s">
        <v>158</v>
      </c>
      <c r="AV190" s="9">
        <v>3</v>
      </c>
      <c r="AW190" s="15" t="s">
        <v>52</v>
      </c>
      <c r="AX190" s="9">
        <v>140.57093326605002</v>
      </c>
      <c r="AY190" s="63" t="s">
        <v>124</v>
      </c>
      <c r="AZ190" s="9">
        <v>2.0813553220832</v>
      </c>
      <c r="BA190" s="287" t="s">
        <v>158</v>
      </c>
      <c r="BB190" s="63" t="s">
        <v>124</v>
      </c>
      <c r="BC190" s="9">
        <v>9.851358989140504</v>
      </c>
      <c r="BD190" s="287" t="s">
        <v>158</v>
      </c>
      <c r="BE190" s="64" t="s">
        <v>52</v>
      </c>
      <c r="BF190" s="9">
        <v>9.8027262897931973</v>
      </c>
      <c r="BG190" s="287" t="s">
        <v>158</v>
      </c>
      <c r="BH190" s="68" t="s">
        <v>73</v>
      </c>
      <c r="BI190" s="9">
        <v>9.5861615517010925</v>
      </c>
      <c r="BJ190" s="67" t="s">
        <v>66</v>
      </c>
      <c r="BK190" s="63" t="s">
        <v>124</v>
      </c>
      <c r="BL190" s="9">
        <v>9.093462402410001</v>
      </c>
      <c r="BM190" s="67" t="s">
        <v>66</v>
      </c>
      <c r="BN190" s="64" t="s">
        <v>52</v>
      </c>
      <c r="BO190" s="9">
        <v>9.0521692268875018</v>
      </c>
    </row>
    <row r="191" spans="1:67" x14ac:dyDescent="0.45">
      <c r="A191" s="10">
        <v>170</v>
      </c>
      <c r="B191" s="10" t="s">
        <v>1167</v>
      </c>
      <c r="C191" s="288" t="s">
        <v>2141</v>
      </c>
      <c r="D191" s="65"/>
      <c r="E191" s="80" t="s">
        <v>2179</v>
      </c>
      <c r="F191" s="287" t="s">
        <v>2282</v>
      </c>
      <c r="G191" s="59" t="s">
        <v>1886</v>
      </c>
      <c r="H191" s="10"/>
      <c r="I191" s="62">
        <v>95.626301210000008</v>
      </c>
      <c r="J191" s="62">
        <v>88.513601120000004</v>
      </c>
      <c r="K191" s="62">
        <v>154.89880196000001</v>
      </c>
      <c r="L191" s="49">
        <v>1119.7121536970856</v>
      </c>
      <c r="M191" s="49">
        <v>1197.9084206053567</v>
      </c>
      <c r="N191" s="49">
        <v>1264.3793614786455</v>
      </c>
      <c r="O191" s="61">
        <v>12.595755125655822</v>
      </c>
      <c r="P191" s="60"/>
      <c r="Q191" s="73" t="s">
        <v>214</v>
      </c>
      <c r="R191" s="9">
        <v>7.8850936871200004</v>
      </c>
      <c r="S191" s="73" t="s">
        <v>214</v>
      </c>
      <c r="T191" s="9">
        <v>6.5709114059333338</v>
      </c>
      <c r="U191" s="51" t="s">
        <v>6</v>
      </c>
      <c r="V191" s="9">
        <v>12.856999999999999</v>
      </c>
      <c r="W191" s="290" t="s">
        <v>182</v>
      </c>
      <c r="X191" s="9">
        <v>46.900624580799999</v>
      </c>
      <c r="Y191" s="290" t="s">
        <v>182</v>
      </c>
      <c r="Z191" s="9">
        <v>18.76024983232</v>
      </c>
      <c r="AA191" s="51" t="s">
        <v>6</v>
      </c>
      <c r="AB191" s="51" t="s">
        <v>182</v>
      </c>
      <c r="AC191" s="9">
        <v>11.204051537481739</v>
      </c>
      <c r="AD191" s="288" t="s">
        <v>214</v>
      </c>
      <c r="AE191" s="290" t="s">
        <v>182</v>
      </c>
      <c r="AF191" s="9">
        <v>11.061720299865264</v>
      </c>
      <c r="AG191" s="51" t="s">
        <v>6</v>
      </c>
      <c r="AH191" s="73" t="s">
        <v>1524</v>
      </c>
      <c r="AI191" s="9">
        <v>9.6320727137419624</v>
      </c>
      <c r="AJ191" s="73" t="s">
        <v>214</v>
      </c>
      <c r="AK191" s="288" t="s">
        <v>1524</v>
      </c>
      <c r="AL191" s="9">
        <v>9.5841422644314314</v>
      </c>
      <c r="AM191" s="51" t="s">
        <v>6</v>
      </c>
      <c r="AN191" s="73" t="s">
        <v>238</v>
      </c>
      <c r="AO191" s="9">
        <v>9.2883191340407532</v>
      </c>
      <c r="AP191" s="60"/>
      <c r="AQ191" s="73" t="s">
        <v>214</v>
      </c>
      <c r="AR191" s="9">
        <v>6.9670811955040008</v>
      </c>
      <c r="AS191" s="73" t="s">
        <v>214</v>
      </c>
      <c r="AT191" s="9">
        <v>2.3223603985013335</v>
      </c>
      <c r="AU191" s="290" t="s">
        <v>6</v>
      </c>
      <c r="AV191" s="9">
        <v>4</v>
      </c>
      <c r="AW191" s="51" t="s">
        <v>182</v>
      </c>
      <c r="AX191" s="9">
        <v>68.129663449420008</v>
      </c>
      <c r="AY191" s="290" t="s">
        <v>182</v>
      </c>
      <c r="AZ191" s="9">
        <v>1.2387211536258182</v>
      </c>
      <c r="BA191" s="290" t="s">
        <v>6</v>
      </c>
      <c r="BB191" s="290" t="s">
        <v>182</v>
      </c>
      <c r="BC191" s="9">
        <v>6.4756952582349161</v>
      </c>
      <c r="BD191" s="288" t="s">
        <v>214</v>
      </c>
      <c r="BE191" s="290" t="s">
        <v>182</v>
      </c>
      <c r="BF191" s="9">
        <v>6.4353168391837503</v>
      </c>
      <c r="BG191" s="288" t="s">
        <v>214</v>
      </c>
      <c r="BH191" s="73" t="s">
        <v>238</v>
      </c>
      <c r="BI191" s="9">
        <v>5.2531750617670161</v>
      </c>
      <c r="BJ191" s="51" t="s">
        <v>6</v>
      </c>
      <c r="BK191" s="288" t="s">
        <v>238</v>
      </c>
      <c r="BL191" s="9">
        <v>5.1930321839875004</v>
      </c>
      <c r="BM191" s="73" t="s">
        <v>214</v>
      </c>
      <c r="BN191" s="288" t="s">
        <v>1524</v>
      </c>
      <c r="BO191" s="9">
        <v>3.7771119382871001</v>
      </c>
    </row>
    <row r="192" spans="1:67" x14ac:dyDescent="0.45">
      <c r="A192" s="10">
        <v>171</v>
      </c>
      <c r="B192" s="10" t="s">
        <v>1164</v>
      </c>
      <c r="C192" s="288" t="s">
        <v>2141</v>
      </c>
      <c r="D192" s="65"/>
      <c r="E192" s="80" t="s">
        <v>2179</v>
      </c>
      <c r="F192" s="287" t="s">
        <v>2282</v>
      </c>
      <c r="G192" s="59" t="s">
        <v>1886</v>
      </c>
      <c r="H192" s="10"/>
      <c r="I192" s="62">
        <v>127.23830161000001</v>
      </c>
      <c r="J192" s="62">
        <v>120.12560152</v>
      </c>
      <c r="K192" s="62">
        <v>223.65490283000003</v>
      </c>
      <c r="L192" s="49">
        <v>2085.5704397082695</v>
      </c>
      <c r="M192" s="49">
        <v>2269.2790715773904</v>
      </c>
      <c r="N192" s="49">
        <v>2427.830394042001</v>
      </c>
      <c r="O192" s="61">
        <v>23.985417080810464</v>
      </c>
      <c r="P192" s="60"/>
      <c r="Q192" s="51" t="s">
        <v>74</v>
      </c>
      <c r="R192" s="9">
        <v>7.1074384772800006</v>
      </c>
      <c r="S192" s="73" t="s">
        <v>121</v>
      </c>
      <c r="T192" s="9">
        <v>9.6342980966000002</v>
      </c>
      <c r="U192" s="51" t="s">
        <v>74</v>
      </c>
      <c r="V192" s="9">
        <v>13.635999999999999</v>
      </c>
      <c r="W192" s="288" t="s">
        <v>197</v>
      </c>
      <c r="X192" s="9">
        <v>100.2458752558</v>
      </c>
      <c r="Y192" s="290" t="s">
        <v>222</v>
      </c>
      <c r="Z192" s="9">
        <v>32.226242069166666</v>
      </c>
      <c r="AA192" s="73" t="s">
        <v>121</v>
      </c>
      <c r="AB192" s="73" t="s">
        <v>197</v>
      </c>
      <c r="AC192" s="9">
        <v>14.781117009157894</v>
      </c>
      <c r="AD192" s="288" t="s">
        <v>121</v>
      </c>
      <c r="AE192" s="290" t="s">
        <v>182</v>
      </c>
      <c r="AF192" s="9">
        <v>14.699450034106667</v>
      </c>
      <c r="AG192" s="73" t="s">
        <v>121</v>
      </c>
      <c r="AH192" s="51" t="s">
        <v>222</v>
      </c>
      <c r="AI192" s="9">
        <v>14.006932413870967</v>
      </c>
      <c r="AJ192" s="51" t="s">
        <v>74</v>
      </c>
      <c r="AK192" s="290" t="s">
        <v>182</v>
      </c>
      <c r="AL192" s="9">
        <v>13.90797508601081</v>
      </c>
      <c r="AM192" s="51" t="s">
        <v>74</v>
      </c>
      <c r="AN192" s="73" t="s">
        <v>197</v>
      </c>
      <c r="AO192" s="9">
        <v>13.636176781523636</v>
      </c>
      <c r="AP192" s="60"/>
      <c r="AQ192" s="51" t="s">
        <v>74</v>
      </c>
      <c r="AR192" s="9">
        <v>5.9622937627900008</v>
      </c>
      <c r="AS192" s="73" t="s">
        <v>121</v>
      </c>
      <c r="AT192" s="9">
        <v>3.9773762576740004</v>
      </c>
      <c r="AU192" s="290" t="s">
        <v>74</v>
      </c>
      <c r="AV192" s="9">
        <v>3.6666666666666998</v>
      </c>
      <c r="AW192" s="73" t="s">
        <v>197</v>
      </c>
      <c r="AX192" s="9">
        <v>130.01963783254001</v>
      </c>
      <c r="AY192" s="288" t="s">
        <v>197</v>
      </c>
      <c r="AZ192" s="9">
        <v>1.7335951711005335</v>
      </c>
      <c r="BA192" s="288" t="s">
        <v>121</v>
      </c>
      <c r="BB192" s="288" t="s">
        <v>197</v>
      </c>
      <c r="BC192" s="9">
        <v>8.8251555490150011</v>
      </c>
      <c r="BD192" s="288" t="s">
        <v>121</v>
      </c>
      <c r="BE192" s="290" t="s">
        <v>222</v>
      </c>
      <c r="BF192" s="9">
        <v>8.5615904956800009</v>
      </c>
      <c r="BG192" s="288" t="s">
        <v>121</v>
      </c>
      <c r="BH192" s="51" t="s">
        <v>182</v>
      </c>
      <c r="BI192" s="9">
        <v>8.4434406441850012</v>
      </c>
      <c r="BJ192" s="51" t="s">
        <v>74</v>
      </c>
      <c r="BK192" s="288" t="s">
        <v>197</v>
      </c>
      <c r="BL192" s="9">
        <v>7.9550341032508056</v>
      </c>
      <c r="BM192" s="51" t="s">
        <v>74</v>
      </c>
      <c r="BN192" s="290" t="s">
        <v>222</v>
      </c>
      <c r="BO192" s="9">
        <v>7.6462945213675404</v>
      </c>
    </row>
    <row r="193" spans="1:67" x14ac:dyDescent="0.45">
      <c r="A193" s="10">
        <v>172</v>
      </c>
      <c r="B193" s="10" t="s">
        <v>1161</v>
      </c>
      <c r="C193" s="290" t="s">
        <v>1992</v>
      </c>
      <c r="D193" s="65"/>
      <c r="E193" s="80" t="s">
        <v>1892</v>
      </c>
      <c r="F193" s="287" t="s">
        <v>2211</v>
      </c>
      <c r="G193" s="242"/>
      <c r="H193" s="10"/>
      <c r="I193" s="62">
        <v>72.707600920000004</v>
      </c>
      <c r="J193" s="62">
        <v>53.74040068</v>
      </c>
      <c r="K193" s="62">
        <v>79.030000999999999</v>
      </c>
      <c r="L193" s="49">
        <v>473.83404170454639</v>
      </c>
      <c r="M193" s="49">
        <v>456.85859684110153</v>
      </c>
      <c r="N193" s="49">
        <v>443.71717158283246</v>
      </c>
      <c r="O193" s="61">
        <v>4.0305030695796225</v>
      </c>
      <c r="P193" s="60"/>
      <c r="Q193" s="15" t="s">
        <v>291</v>
      </c>
      <c r="R193" s="9">
        <v>3.9083040368000002</v>
      </c>
      <c r="S193" s="51" t="s">
        <v>115</v>
      </c>
      <c r="T193" s="9">
        <v>5.3020467126666668</v>
      </c>
      <c r="U193" s="51" t="s">
        <v>115</v>
      </c>
      <c r="V193" s="9">
        <v>13.333</v>
      </c>
      <c r="W193" s="290" t="s">
        <v>182</v>
      </c>
      <c r="X193" s="9">
        <v>35.8996484416</v>
      </c>
      <c r="Y193" s="290" t="s">
        <v>182</v>
      </c>
      <c r="Z193" s="9">
        <v>14.359859376639999</v>
      </c>
      <c r="AA193" s="51" t="s">
        <v>115</v>
      </c>
      <c r="AB193" s="51" t="s">
        <v>182</v>
      </c>
      <c r="AC193" s="9">
        <v>8.9251717782560007</v>
      </c>
      <c r="AD193" s="64" t="s">
        <v>291</v>
      </c>
      <c r="AE193" s="290" t="s">
        <v>182</v>
      </c>
      <c r="AF193" s="9">
        <v>8.5294105577846153</v>
      </c>
      <c r="AG193" s="51" t="s">
        <v>115</v>
      </c>
      <c r="AH193" s="51" t="s">
        <v>5</v>
      </c>
      <c r="AI193" s="9">
        <v>7.8805044255969001</v>
      </c>
      <c r="AJ193" s="15" t="s">
        <v>291</v>
      </c>
      <c r="AK193" s="290" t="s">
        <v>5</v>
      </c>
      <c r="AL193" s="9">
        <v>7.5355370980000007</v>
      </c>
      <c r="AM193" s="51" t="s">
        <v>115</v>
      </c>
      <c r="AN193" s="14" t="s">
        <v>1532</v>
      </c>
      <c r="AO193" s="9">
        <v>6.2035589224479164</v>
      </c>
      <c r="AP193" s="60"/>
      <c r="AQ193" s="15" t="s">
        <v>291</v>
      </c>
      <c r="AR193" s="9">
        <v>3.3629970299000003</v>
      </c>
      <c r="AS193" s="15" t="s">
        <v>291</v>
      </c>
      <c r="AT193" s="9">
        <v>1.6814985149500001</v>
      </c>
      <c r="AU193" s="290" t="s">
        <v>115</v>
      </c>
      <c r="AV193" s="9">
        <v>4.5</v>
      </c>
      <c r="AW193" s="51" t="s">
        <v>182</v>
      </c>
      <c r="AX193" s="9">
        <v>52.040735845840004</v>
      </c>
      <c r="AY193" s="290" t="s">
        <v>182</v>
      </c>
      <c r="AZ193" s="9">
        <v>0.946195197197091</v>
      </c>
      <c r="BA193" s="290" t="s">
        <v>115</v>
      </c>
      <c r="BB193" s="290" t="s">
        <v>182</v>
      </c>
      <c r="BC193" s="9">
        <v>5.1843807142571441</v>
      </c>
      <c r="BD193" s="64" t="s">
        <v>291</v>
      </c>
      <c r="BE193" s="290" t="s">
        <v>182</v>
      </c>
      <c r="BF193" s="9">
        <v>4.6944443381656411</v>
      </c>
      <c r="BG193" s="290" t="s">
        <v>115</v>
      </c>
      <c r="BH193" s="51" t="s">
        <v>5</v>
      </c>
      <c r="BI193" s="9">
        <v>4.4694197934071909</v>
      </c>
      <c r="BJ193" s="51" t="s">
        <v>115</v>
      </c>
      <c r="BK193" s="65" t="s">
        <v>1532</v>
      </c>
      <c r="BL193" s="9">
        <v>4.3262497932945454</v>
      </c>
      <c r="BM193" s="15" t="s">
        <v>291</v>
      </c>
      <c r="BN193" s="290" t="s">
        <v>5</v>
      </c>
      <c r="BO193" s="9">
        <v>4.1363311121696551</v>
      </c>
    </row>
    <row r="194" spans="1:67" x14ac:dyDescent="0.45">
      <c r="A194" s="10">
        <v>173</v>
      </c>
      <c r="B194" s="10" t="s">
        <v>1159</v>
      </c>
      <c r="C194" s="65" t="s">
        <v>1894</v>
      </c>
      <c r="D194" s="65"/>
      <c r="E194" s="63" t="s">
        <v>2221</v>
      </c>
      <c r="F194" s="58" t="s">
        <v>2222</v>
      </c>
      <c r="G194" s="78" t="s">
        <v>1893</v>
      </c>
      <c r="H194" s="10"/>
      <c r="I194" s="62">
        <v>71.127000899999999</v>
      </c>
      <c r="J194" s="62">
        <v>74.28820094000001</v>
      </c>
      <c r="K194" s="62">
        <v>120.12560152</v>
      </c>
      <c r="L194" s="49">
        <v>671.91170240460019</v>
      </c>
      <c r="M194" s="49">
        <v>738.57274221119042</v>
      </c>
      <c r="N194" s="49">
        <v>796.63270480391179</v>
      </c>
      <c r="O194" s="61">
        <v>8.3068163793921634</v>
      </c>
      <c r="P194" s="60"/>
      <c r="Q194" s="57" t="s">
        <v>95</v>
      </c>
      <c r="R194" s="9">
        <v>5.267620054</v>
      </c>
      <c r="S194" s="15" t="s">
        <v>288</v>
      </c>
      <c r="T194" s="9">
        <v>5.8157417191666667</v>
      </c>
      <c r="U194" s="15" t="s">
        <v>288</v>
      </c>
      <c r="V194" s="9">
        <v>10</v>
      </c>
      <c r="W194" s="79" t="s">
        <v>3429</v>
      </c>
      <c r="X194" s="9">
        <v>33.007150404999997</v>
      </c>
      <c r="Y194" s="79" t="s">
        <v>23</v>
      </c>
      <c r="Z194" s="9">
        <v>12.695057848076921</v>
      </c>
      <c r="AA194" s="15" t="s">
        <v>288</v>
      </c>
      <c r="AB194" s="72" t="s">
        <v>23</v>
      </c>
      <c r="AC194" s="9">
        <v>8.1691919737938594</v>
      </c>
      <c r="AD194" s="64" t="s">
        <v>288</v>
      </c>
      <c r="AE194" s="242" t="s">
        <v>82</v>
      </c>
      <c r="AF194" s="9">
        <v>7.9597255129273501</v>
      </c>
      <c r="AG194" s="57" t="s">
        <v>95</v>
      </c>
      <c r="AH194" s="72" t="s">
        <v>23</v>
      </c>
      <c r="AI194" s="9">
        <v>7.3265741574074053</v>
      </c>
      <c r="AJ194" s="15" t="s">
        <v>288</v>
      </c>
      <c r="AK194" s="64" t="s">
        <v>1480</v>
      </c>
      <c r="AL194" s="9">
        <v>7.2931635583864116</v>
      </c>
      <c r="AM194" s="15" t="s">
        <v>288</v>
      </c>
      <c r="AN194" s="57" t="s">
        <v>58</v>
      </c>
      <c r="AO194" s="9">
        <v>7.2102896723296501</v>
      </c>
      <c r="AP194" s="60"/>
      <c r="AQ194" s="57" t="s">
        <v>95</v>
      </c>
      <c r="AR194" s="9">
        <v>4.6986040467999999</v>
      </c>
      <c r="AS194" s="15" t="s">
        <v>288</v>
      </c>
      <c r="AT194" s="9">
        <v>1.655813764625</v>
      </c>
      <c r="AU194" s="242" t="s">
        <v>2454</v>
      </c>
      <c r="AV194" s="9">
        <v>2</v>
      </c>
      <c r="AW194" s="72" t="s">
        <v>3475</v>
      </c>
      <c r="AX194" s="9">
        <v>42.609295526499999</v>
      </c>
      <c r="AY194" s="79" t="s">
        <v>23</v>
      </c>
      <c r="AZ194" s="9">
        <v>0.85218591052999992</v>
      </c>
      <c r="BA194" s="64" t="s">
        <v>288</v>
      </c>
      <c r="BB194" s="79" t="s">
        <v>23</v>
      </c>
      <c r="BC194" s="9">
        <v>3.2309476785432691</v>
      </c>
      <c r="BD194" s="242" t="s">
        <v>95</v>
      </c>
      <c r="BE194" s="79" t="s">
        <v>23</v>
      </c>
      <c r="BF194" s="9">
        <v>3.1447818942243591</v>
      </c>
      <c r="BG194" s="64" t="s">
        <v>288</v>
      </c>
      <c r="BH194" s="15" t="s">
        <v>1480</v>
      </c>
      <c r="BI194" s="9">
        <v>3.1197984449695944</v>
      </c>
      <c r="BJ194" s="15" t="s">
        <v>288</v>
      </c>
      <c r="BK194" s="242" t="s">
        <v>82</v>
      </c>
      <c r="BL194" s="9">
        <v>3.0927780369714908</v>
      </c>
      <c r="BM194" s="57" t="s">
        <v>95</v>
      </c>
      <c r="BN194" s="64" t="s">
        <v>1480</v>
      </c>
      <c r="BO194" s="9">
        <v>3.0350299436396395</v>
      </c>
    </row>
    <row r="195" spans="1:67" x14ac:dyDescent="0.45">
      <c r="A195" s="10">
        <v>174</v>
      </c>
      <c r="B195" s="10" t="s">
        <v>1157</v>
      </c>
      <c r="C195" s="64" t="s">
        <v>2116</v>
      </c>
      <c r="D195" s="65"/>
      <c r="E195" s="63" t="s">
        <v>2221</v>
      </c>
      <c r="F195" s="289" t="s">
        <v>2226</v>
      </c>
      <c r="G195" s="77" t="s">
        <v>2189</v>
      </c>
      <c r="H195" s="10"/>
      <c r="I195" s="62">
        <v>66.38520084000001</v>
      </c>
      <c r="J195" s="62">
        <v>37.144100470000005</v>
      </c>
      <c r="K195" s="62">
        <v>175.44660222000002</v>
      </c>
      <c r="L195" s="49">
        <v>535.90607119407741</v>
      </c>
      <c r="M195" s="49">
        <v>572.01056970871912</v>
      </c>
      <c r="N195" s="49">
        <v>602.63778087638332</v>
      </c>
      <c r="O195" s="61">
        <v>6.2834144426281764</v>
      </c>
      <c r="P195" s="60"/>
      <c r="Q195" s="67" t="s">
        <v>14</v>
      </c>
      <c r="R195" s="9">
        <v>4.3192600420000007</v>
      </c>
      <c r="S195" s="15" t="s">
        <v>288</v>
      </c>
      <c r="T195" s="9">
        <v>6.313630725466667</v>
      </c>
      <c r="U195" s="67" t="s">
        <v>2379</v>
      </c>
      <c r="V195" s="9">
        <v>10</v>
      </c>
      <c r="W195" s="77" t="s">
        <v>73</v>
      </c>
      <c r="X195" s="9">
        <v>34.192600420000005</v>
      </c>
      <c r="Y195" s="290" t="s">
        <v>94</v>
      </c>
      <c r="Z195" s="9">
        <v>11.874361683846155</v>
      </c>
      <c r="AA195" s="15" t="s">
        <v>288</v>
      </c>
      <c r="AB195" s="68" t="s">
        <v>73</v>
      </c>
      <c r="AC195" s="9">
        <v>8.2200942559166688</v>
      </c>
      <c r="AD195" s="64" t="s">
        <v>288</v>
      </c>
      <c r="AE195" s="290" t="s">
        <v>94</v>
      </c>
      <c r="AF195" s="9">
        <v>8.2159860533333351</v>
      </c>
      <c r="AG195" s="15" t="s">
        <v>288</v>
      </c>
      <c r="AH195" s="15" t="s">
        <v>1480</v>
      </c>
      <c r="AI195" s="9">
        <v>8.018024714055203</v>
      </c>
      <c r="AJ195" s="15" t="s">
        <v>288</v>
      </c>
      <c r="AK195" s="242" t="s">
        <v>82</v>
      </c>
      <c r="AL195" s="9">
        <v>8.0053197442735069</v>
      </c>
      <c r="AM195" s="67" t="s">
        <v>14</v>
      </c>
      <c r="AN195" s="68" t="s">
        <v>73</v>
      </c>
      <c r="AO195" s="9">
        <v>7.2735611927777786</v>
      </c>
      <c r="AP195" s="60"/>
      <c r="AQ195" s="67" t="s">
        <v>2379</v>
      </c>
      <c r="AR195" s="9">
        <v>3.5890228327600004</v>
      </c>
      <c r="AS195" s="67" t="s">
        <v>2379</v>
      </c>
      <c r="AT195" s="9">
        <v>1.7945114163800002</v>
      </c>
      <c r="AU195" s="76" t="s">
        <v>14</v>
      </c>
      <c r="AV195" s="9">
        <v>3</v>
      </c>
      <c r="AW195" s="68" t="s">
        <v>73</v>
      </c>
      <c r="AX195" s="9">
        <v>44.150380546000008</v>
      </c>
      <c r="AY195" s="64" t="s">
        <v>1480</v>
      </c>
      <c r="AZ195" s="9">
        <v>0.91623639980342886</v>
      </c>
      <c r="BA195" s="76" t="s">
        <v>14</v>
      </c>
      <c r="BB195" s="64" t="s">
        <v>1480</v>
      </c>
      <c r="BC195" s="9">
        <v>4.1845453040173695</v>
      </c>
      <c r="BD195" s="76" t="s">
        <v>14</v>
      </c>
      <c r="BE195" s="77" t="s">
        <v>73</v>
      </c>
      <c r="BF195" s="9">
        <v>3.9853322334293115</v>
      </c>
      <c r="BG195" s="76" t="s">
        <v>14</v>
      </c>
      <c r="BH195" s="51" t="s">
        <v>94</v>
      </c>
      <c r="BI195" s="9">
        <v>3.9477660055320758</v>
      </c>
      <c r="BJ195" s="67" t="s">
        <v>14</v>
      </c>
      <c r="BK195" s="242" t="s">
        <v>82</v>
      </c>
      <c r="BL195" s="9">
        <v>3.7621406099155177</v>
      </c>
      <c r="BM195" s="15" t="s">
        <v>288</v>
      </c>
      <c r="BN195" s="64" t="s">
        <v>1480</v>
      </c>
      <c r="BO195" s="9">
        <v>3.4309310151227033</v>
      </c>
    </row>
    <row r="196" spans="1:67" x14ac:dyDescent="0.45">
      <c r="A196" s="10">
        <v>175</v>
      </c>
      <c r="B196" s="10" t="s">
        <v>1154</v>
      </c>
      <c r="C196" s="65" t="s">
        <v>1894</v>
      </c>
      <c r="D196" s="65"/>
      <c r="E196" s="63" t="s">
        <v>2221</v>
      </c>
      <c r="F196" s="58" t="s">
        <v>2222</v>
      </c>
      <c r="G196" s="78" t="s">
        <v>1893</v>
      </c>
      <c r="H196" s="10"/>
      <c r="I196" s="62">
        <v>64.804600820000005</v>
      </c>
      <c r="J196" s="62">
        <v>103.52930131000001</v>
      </c>
      <c r="K196" s="62">
        <v>99.577801260000001</v>
      </c>
      <c r="L196" s="49">
        <v>657.98917321602164</v>
      </c>
      <c r="M196" s="49">
        <v>764.22475897980314</v>
      </c>
      <c r="N196" s="49">
        <v>861.43594281833941</v>
      </c>
      <c r="O196" s="61">
        <v>9.3420448176552799</v>
      </c>
      <c r="P196" s="60"/>
      <c r="Q196" s="71" t="s">
        <v>2808</v>
      </c>
      <c r="R196" s="9">
        <v>5.8603450615000003</v>
      </c>
      <c r="S196" s="57" t="s">
        <v>95</v>
      </c>
      <c r="T196" s="9">
        <v>4.4438873174545455</v>
      </c>
      <c r="U196" s="16" t="s">
        <v>2401</v>
      </c>
      <c r="V196" s="9">
        <v>10</v>
      </c>
      <c r="W196" s="65" t="s">
        <v>63</v>
      </c>
      <c r="X196" s="9">
        <v>39.882760492000003</v>
      </c>
      <c r="Y196" s="65" t="s">
        <v>63</v>
      </c>
      <c r="Z196" s="9">
        <v>11.395074426285715</v>
      </c>
      <c r="AA196" s="16" t="s">
        <v>1515</v>
      </c>
      <c r="AB196" s="14" t="s">
        <v>63</v>
      </c>
      <c r="AC196" s="9">
        <v>7.1863424349411771</v>
      </c>
      <c r="AD196" s="242" t="s">
        <v>95</v>
      </c>
      <c r="AE196" s="65" t="s">
        <v>63</v>
      </c>
      <c r="AF196" s="9">
        <v>7.1471267486666665</v>
      </c>
      <c r="AG196" s="71" t="s">
        <v>1518</v>
      </c>
      <c r="AH196" s="14" t="s">
        <v>63</v>
      </c>
      <c r="AI196" s="9">
        <v>6.9902640035686279</v>
      </c>
      <c r="AJ196" s="52" t="s">
        <v>1500</v>
      </c>
      <c r="AK196" s="65" t="s">
        <v>63</v>
      </c>
      <c r="AL196" s="9">
        <v>6.9902640035686279</v>
      </c>
      <c r="AM196" s="67" t="s">
        <v>1502</v>
      </c>
      <c r="AN196" s="14" t="s">
        <v>63</v>
      </c>
      <c r="AO196" s="9">
        <v>6.9902640035686279</v>
      </c>
      <c r="AP196" s="60"/>
      <c r="AQ196" s="71" t="s">
        <v>2808</v>
      </c>
      <c r="AR196" s="9">
        <v>4.7910691479700001</v>
      </c>
      <c r="AS196" s="16" t="s">
        <v>1515</v>
      </c>
      <c r="AT196" s="9">
        <v>1.7636897159900002</v>
      </c>
      <c r="AU196" s="80" t="s">
        <v>2474</v>
      </c>
      <c r="AV196" s="9">
        <v>2.6666666666666998</v>
      </c>
      <c r="AW196" s="14" t="s">
        <v>63</v>
      </c>
      <c r="AX196" s="9">
        <v>56.602347503560004</v>
      </c>
      <c r="AY196" s="65" t="s">
        <v>63</v>
      </c>
      <c r="AZ196" s="9">
        <v>0.80860496433657147</v>
      </c>
      <c r="BA196" s="287" t="s">
        <v>1515</v>
      </c>
      <c r="BB196" s="65" t="s">
        <v>63</v>
      </c>
      <c r="BC196" s="9">
        <v>3.6546779155613796</v>
      </c>
      <c r="BD196" s="80" t="s">
        <v>1518</v>
      </c>
      <c r="BE196" s="65" t="s">
        <v>63</v>
      </c>
      <c r="BF196" s="9">
        <v>3.6155670659925692</v>
      </c>
      <c r="BG196" s="56" t="s">
        <v>1500</v>
      </c>
      <c r="BH196" s="14" t="s">
        <v>63</v>
      </c>
      <c r="BI196" s="9">
        <v>3.6155670659925692</v>
      </c>
      <c r="BJ196" s="67" t="s">
        <v>1502</v>
      </c>
      <c r="BK196" s="65" t="s">
        <v>63</v>
      </c>
      <c r="BL196" s="9">
        <v>3.6155670659925692</v>
      </c>
      <c r="BM196" s="54" t="s">
        <v>1521</v>
      </c>
      <c r="BN196" s="65" t="s">
        <v>63</v>
      </c>
      <c r="BO196" s="9">
        <v>3.6155670659925692</v>
      </c>
    </row>
    <row r="197" spans="1:67" x14ac:dyDescent="0.45">
      <c r="A197" s="10">
        <v>176</v>
      </c>
      <c r="B197" s="10" t="s">
        <v>1151</v>
      </c>
      <c r="C197" s="287" t="s">
        <v>2142</v>
      </c>
      <c r="D197" s="65"/>
      <c r="E197" s="63" t="s">
        <v>2283</v>
      </c>
      <c r="F197" s="79" t="s">
        <v>2162</v>
      </c>
      <c r="G197" s="58" t="s">
        <v>2284</v>
      </c>
      <c r="H197" s="10"/>
      <c r="I197" s="62">
        <v>121.70620154000001</v>
      </c>
      <c r="J197" s="62">
        <v>154.89880196000001</v>
      </c>
      <c r="K197" s="62">
        <v>127.23830161000001</v>
      </c>
      <c r="L197" s="49">
        <v>1708.6207230071825</v>
      </c>
      <c r="M197" s="49">
        <v>1791.9219403665343</v>
      </c>
      <c r="N197" s="49">
        <v>1861.4776282459195</v>
      </c>
      <c r="O197" s="61">
        <v>17.065616874279836</v>
      </c>
      <c r="P197" s="60"/>
      <c r="Q197" s="16" t="s">
        <v>1506</v>
      </c>
      <c r="R197" s="9">
        <v>11.9535581386</v>
      </c>
      <c r="S197" s="16" t="s">
        <v>1506</v>
      </c>
      <c r="T197" s="9">
        <v>7.9690387590666667</v>
      </c>
      <c r="U197" s="57" t="s">
        <v>34</v>
      </c>
      <c r="V197" s="9">
        <v>10.91</v>
      </c>
      <c r="W197" s="65" t="s">
        <v>63</v>
      </c>
      <c r="X197" s="9">
        <v>74.023720924000003</v>
      </c>
      <c r="Y197" s="65" t="s">
        <v>63</v>
      </c>
      <c r="Z197" s="9">
        <v>21.149634549714285</v>
      </c>
      <c r="AA197" s="57" t="s">
        <v>34</v>
      </c>
      <c r="AB197" s="14" t="s">
        <v>63</v>
      </c>
      <c r="AC197" s="9">
        <v>13.437146966061855</v>
      </c>
      <c r="AD197" s="287" t="s">
        <v>1506</v>
      </c>
      <c r="AE197" s="65" t="s">
        <v>63</v>
      </c>
      <c r="AF197" s="9">
        <v>13.396342908156862</v>
      </c>
      <c r="AG197" s="71" t="s">
        <v>1518</v>
      </c>
      <c r="AH197" s="14" t="s">
        <v>63</v>
      </c>
      <c r="AI197" s="9">
        <v>12.680424075568629</v>
      </c>
      <c r="AJ197" s="52" t="s">
        <v>1500</v>
      </c>
      <c r="AK197" s="65" t="s">
        <v>63</v>
      </c>
      <c r="AL197" s="9">
        <v>12.680424075568629</v>
      </c>
      <c r="AM197" s="67" t="s">
        <v>1502</v>
      </c>
      <c r="AN197" s="14" t="s">
        <v>63</v>
      </c>
      <c r="AO197" s="9">
        <v>12.680424075568629</v>
      </c>
      <c r="AP197" s="60"/>
      <c r="AQ197" s="16" t="s">
        <v>1506</v>
      </c>
      <c r="AR197" s="9">
        <v>9.5437753481080012</v>
      </c>
      <c r="AS197" s="16" t="s">
        <v>1506</v>
      </c>
      <c r="AT197" s="9">
        <v>3.1812584493693339</v>
      </c>
      <c r="AU197" s="242" t="s">
        <v>34</v>
      </c>
      <c r="AV197" s="9">
        <v>3.3333333333333002</v>
      </c>
      <c r="AW197" s="14" t="s">
        <v>63</v>
      </c>
      <c r="AX197" s="9">
        <v>105.42392092132002</v>
      </c>
      <c r="AY197" s="65" t="s">
        <v>63</v>
      </c>
      <c r="AZ197" s="9">
        <v>1.5060560131617144</v>
      </c>
      <c r="BA197" s="242" t="s">
        <v>34</v>
      </c>
      <c r="BB197" s="65" t="s">
        <v>63</v>
      </c>
      <c r="BC197" s="9">
        <v>7.123862649176365</v>
      </c>
      <c r="BD197" s="287" t="s">
        <v>1506</v>
      </c>
      <c r="BE197" s="65" t="s">
        <v>63</v>
      </c>
      <c r="BF197" s="9">
        <v>6.9332827602666063</v>
      </c>
      <c r="BG197" s="80" t="s">
        <v>1518</v>
      </c>
      <c r="BH197" s="14" t="s">
        <v>63</v>
      </c>
      <c r="BI197" s="9">
        <v>6.4760470764993583</v>
      </c>
      <c r="BJ197" s="52" t="s">
        <v>1500</v>
      </c>
      <c r="BK197" s="65" t="s">
        <v>63</v>
      </c>
      <c r="BL197" s="9">
        <v>6.4760470764993583</v>
      </c>
      <c r="BM197" s="67" t="s">
        <v>1502</v>
      </c>
      <c r="BN197" s="65" t="s">
        <v>63</v>
      </c>
      <c r="BO197" s="9">
        <v>6.4760470764993583</v>
      </c>
    </row>
    <row r="198" spans="1:67" x14ac:dyDescent="0.45">
      <c r="A198" s="10">
        <v>177</v>
      </c>
      <c r="B198" s="10" t="s">
        <v>1148</v>
      </c>
      <c r="C198" s="287" t="s">
        <v>2143</v>
      </c>
      <c r="D198" s="65"/>
      <c r="E198" s="56" t="s">
        <v>2285</v>
      </c>
      <c r="F198" s="79" t="s">
        <v>2129</v>
      </c>
      <c r="G198" s="58" t="s">
        <v>2286</v>
      </c>
      <c r="H198" s="10"/>
      <c r="I198" s="62">
        <v>117.75470149</v>
      </c>
      <c r="J198" s="62">
        <v>82.19120104000001</v>
      </c>
      <c r="K198" s="62">
        <v>106.69050135000001</v>
      </c>
      <c r="L198" s="49">
        <v>1102.6909168120349</v>
      </c>
      <c r="M198" s="49">
        <v>1021.6125648060515</v>
      </c>
      <c r="N198" s="49">
        <v>961.06368781295589</v>
      </c>
      <c r="O198" s="61">
        <v>8.1030232338694841</v>
      </c>
      <c r="P198" s="60"/>
      <c r="Q198" s="16" t="s">
        <v>1515</v>
      </c>
      <c r="R198" s="9">
        <v>8.0652820894000001</v>
      </c>
      <c r="S198" s="16" t="s">
        <v>1515</v>
      </c>
      <c r="T198" s="9">
        <v>8.0652820894000001</v>
      </c>
      <c r="U198" s="15" t="s">
        <v>291</v>
      </c>
      <c r="V198" s="9">
        <v>12.5</v>
      </c>
      <c r="W198" s="242" t="s">
        <v>58</v>
      </c>
      <c r="X198" s="9">
        <v>46.924333581100001</v>
      </c>
      <c r="Y198" s="287" t="s">
        <v>146</v>
      </c>
      <c r="Z198" s="9">
        <v>18.865953276695652</v>
      </c>
      <c r="AA198" s="15" t="s">
        <v>291</v>
      </c>
      <c r="AB198" s="16" t="s">
        <v>146</v>
      </c>
      <c r="AC198" s="9">
        <v>12.56892336947651</v>
      </c>
      <c r="AD198" s="287" t="s">
        <v>1515</v>
      </c>
      <c r="AE198" s="287" t="s">
        <v>146</v>
      </c>
      <c r="AF198" s="9">
        <v>12.475023580071007</v>
      </c>
      <c r="AG198" s="15" t="s">
        <v>291</v>
      </c>
      <c r="AH198" s="57" t="s">
        <v>58</v>
      </c>
      <c r="AI198" s="9">
        <v>12.290365300577639</v>
      </c>
      <c r="AJ198" s="16" t="s">
        <v>1515</v>
      </c>
      <c r="AK198" s="242" t="s">
        <v>58</v>
      </c>
      <c r="AL198" s="9">
        <v>12.233470808690607</v>
      </c>
      <c r="AM198" s="16" t="s">
        <v>1515</v>
      </c>
      <c r="AN198" s="68" t="s">
        <v>129</v>
      </c>
      <c r="AO198" s="9">
        <v>10.085897486052632</v>
      </c>
      <c r="AP198" s="60"/>
      <c r="AQ198" s="16" t="s">
        <v>1515</v>
      </c>
      <c r="AR198" s="9">
        <v>6.5109200297320005</v>
      </c>
      <c r="AS198" s="16" t="s">
        <v>1515</v>
      </c>
      <c r="AT198" s="9">
        <v>3.2554600148660002</v>
      </c>
      <c r="AU198" s="64" t="s">
        <v>291</v>
      </c>
      <c r="AV198" s="9">
        <v>3.5</v>
      </c>
      <c r="AW198" s="57" t="s">
        <v>58</v>
      </c>
      <c r="AX198" s="9">
        <v>65.294067013540001</v>
      </c>
      <c r="AY198" s="242" t="s">
        <v>58</v>
      </c>
      <c r="AZ198" s="9">
        <v>1.4509792669675556</v>
      </c>
      <c r="BA198" s="64" t="s">
        <v>291</v>
      </c>
      <c r="BB198" s="242" t="s">
        <v>58</v>
      </c>
      <c r="BC198" s="9">
        <v>6.9512857734423195</v>
      </c>
      <c r="BD198" s="64" t="s">
        <v>291</v>
      </c>
      <c r="BE198" s="287" t="s">
        <v>146</v>
      </c>
      <c r="BF198" s="9">
        <v>6.7338564829682754</v>
      </c>
      <c r="BG198" s="287" t="s">
        <v>1515</v>
      </c>
      <c r="BH198" s="57" t="s">
        <v>58</v>
      </c>
      <c r="BI198" s="9">
        <v>6.5206498569014739</v>
      </c>
      <c r="BJ198" s="16" t="s">
        <v>1515</v>
      </c>
      <c r="BK198" s="287" t="s">
        <v>146</v>
      </c>
      <c r="BL198" s="9">
        <v>6.3645035608927065</v>
      </c>
      <c r="BM198" s="16" t="s">
        <v>1515</v>
      </c>
      <c r="BN198" s="77" t="s">
        <v>129</v>
      </c>
      <c r="BO198" s="9">
        <v>5.1541066916587832</v>
      </c>
    </row>
    <row r="199" spans="1:67" x14ac:dyDescent="0.45">
      <c r="A199" s="10">
        <v>178</v>
      </c>
      <c r="B199" s="10" t="s">
        <v>232</v>
      </c>
      <c r="C199" s="287" t="s">
        <v>2143</v>
      </c>
      <c r="D199" s="65"/>
      <c r="E199" s="56" t="s">
        <v>2285</v>
      </c>
      <c r="F199" s="79" t="s">
        <v>2129</v>
      </c>
      <c r="G199" s="58" t="s">
        <v>2286</v>
      </c>
      <c r="H199" s="10"/>
      <c r="I199" s="62">
        <v>163.59210207000001</v>
      </c>
      <c r="J199" s="62">
        <v>127.23830161000001</v>
      </c>
      <c r="K199" s="62">
        <v>140.67340178000001</v>
      </c>
      <c r="L199" s="49">
        <v>2188.6547522119026</v>
      </c>
      <c r="M199" s="49">
        <v>2046.7342514282095</v>
      </c>
      <c r="N199" s="49">
        <v>1939.8529773177022</v>
      </c>
      <c r="O199" s="61">
        <v>15.878669752991623</v>
      </c>
      <c r="P199" s="60"/>
      <c r="Q199" s="16" t="s">
        <v>158</v>
      </c>
      <c r="R199" s="9">
        <v>14.741736573880001</v>
      </c>
      <c r="S199" s="16" t="s">
        <v>158</v>
      </c>
      <c r="T199" s="9">
        <v>12.284780478233335</v>
      </c>
      <c r="U199" s="67" t="s">
        <v>14</v>
      </c>
      <c r="V199" s="9">
        <v>10</v>
      </c>
      <c r="W199" s="242" t="s">
        <v>295</v>
      </c>
      <c r="X199" s="9">
        <v>118.7863134904</v>
      </c>
      <c r="Y199" s="242" t="s">
        <v>295</v>
      </c>
      <c r="Z199" s="9">
        <v>43.994930922370372</v>
      </c>
      <c r="AA199" s="16" t="s">
        <v>158</v>
      </c>
      <c r="AB199" s="57" t="s">
        <v>295</v>
      </c>
      <c r="AC199" s="9">
        <v>18.10909382511565</v>
      </c>
      <c r="AD199" s="76" t="s">
        <v>14</v>
      </c>
      <c r="AE199" s="242" t="s">
        <v>295</v>
      </c>
      <c r="AF199" s="9">
        <v>16.958635165362963</v>
      </c>
      <c r="AG199" s="16" t="s">
        <v>158</v>
      </c>
      <c r="AH199" s="16" t="s">
        <v>203</v>
      </c>
      <c r="AI199" s="9">
        <v>16.269455561880207</v>
      </c>
      <c r="AJ199" s="67" t="s">
        <v>14</v>
      </c>
      <c r="AK199" s="287" t="s">
        <v>203</v>
      </c>
      <c r="AL199" s="9">
        <v>15.520453099442506</v>
      </c>
      <c r="AM199" s="16" t="s">
        <v>158</v>
      </c>
      <c r="AN199" s="68" t="s">
        <v>1486</v>
      </c>
      <c r="AO199" s="9">
        <v>14.450340861973546</v>
      </c>
      <c r="AP199" s="60"/>
      <c r="AQ199" s="16" t="s">
        <v>158</v>
      </c>
      <c r="AR199" s="9">
        <v>12.484165565314001</v>
      </c>
      <c r="AS199" s="16" t="s">
        <v>158</v>
      </c>
      <c r="AT199" s="9">
        <v>4.1613885217713333</v>
      </c>
      <c r="AU199" s="287" t="s">
        <v>2475</v>
      </c>
      <c r="AV199" s="9">
        <v>3</v>
      </c>
      <c r="AW199" s="57" t="s">
        <v>295</v>
      </c>
      <c r="AX199" s="9">
        <v>154.12220753752001</v>
      </c>
      <c r="AY199" s="242" t="s">
        <v>295</v>
      </c>
      <c r="AZ199" s="9">
        <v>2.3711108851926155</v>
      </c>
      <c r="BA199" s="287" t="s">
        <v>158</v>
      </c>
      <c r="BB199" s="242" t="s">
        <v>295</v>
      </c>
      <c r="BC199" s="9">
        <v>10.777307007760244</v>
      </c>
      <c r="BD199" s="76" t="s">
        <v>14</v>
      </c>
      <c r="BE199" s="242" t="s">
        <v>295</v>
      </c>
      <c r="BF199" s="9">
        <v>10.326758999798308</v>
      </c>
      <c r="BG199" s="287" t="s">
        <v>158</v>
      </c>
      <c r="BH199" s="16" t="s">
        <v>203</v>
      </c>
      <c r="BI199" s="9">
        <v>8.3501149759125006</v>
      </c>
      <c r="BJ199" s="67" t="s">
        <v>14</v>
      </c>
      <c r="BK199" s="287" t="s">
        <v>203</v>
      </c>
      <c r="BL199" s="9">
        <v>7.9082313527190635</v>
      </c>
      <c r="BM199" s="16" t="s">
        <v>158</v>
      </c>
      <c r="BN199" s="77" t="s">
        <v>1486</v>
      </c>
      <c r="BO199" s="9">
        <v>7.6501823346303102</v>
      </c>
    </row>
    <row r="200" spans="1:67" x14ac:dyDescent="0.45">
      <c r="A200" s="10">
        <v>179</v>
      </c>
      <c r="B200" s="10" t="s">
        <v>1144</v>
      </c>
      <c r="C200" s="290" t="s">
        <v>1992</v>
      </c>
      <c r="D200" s="65"/>
      <c r="E200" s="80" t="s">
        <v>1892</v>
      </c>
      <c r="F200" s="287" t="s">
        <v>2211</v>
      </c>
      <c r="G200" s="242"/>
      <c r="H200" s="10"/>
      <c r="I200" s="62">
        <v>101.94870129</v>
      </c>
      <c r="J200" s="62">
        <v>74.28820094000001</v>
      </c>
      <c r="K200" s="62">
        <v>127.23830161000001</v>
      </c>
      <c r="L200" s="49">
        <v>991.17548043812587</v>
      </c>
      <c r="M200" s="49">
        <v>975.61754421584465</v>
      </c>
      <c r="N200" s="49">
        <v>963.34720724455508</v>
      </c>
      <c r="O200" s="61">
        <v>8.7986673492245941</v>
      </c>
      <c r="P200" s="60"/>
      <c r="Q200" s="51" t="s">
        <v>115</v>
      </c>
      <c r="R200" s="9">
        <v>4.0584610387</v>
      </c>
      <c r="S200" s="15" t="s">
        <v>127</v>
      </c>
      <c r="T200" s="9">
        <v>7.0974350644999999</v>
      </c>
      <c r="U200" s="51" t="s">
        <v>115</v>
      </c>
      <c r="V200" s="9">
        <v>13.333</v>
      </c>
      <c r="W200" s="290" t="s">
        <v>182</v>
      </c>
      <c r="X200" s="9">
        <v>49.935376619199999</v>
      </c>
      <c r="Y200" s="64" t="s">
        <v>52</v>
      </c>
      <c r="Z200" s="9">
        <v>26.915746751071431</v>
      </c>
      <c r="AA200" s="51" t="s">
        <v>115</v>
      </c>
      <c r="AB200" s="51" t="s">
        <v>182</v>
      </c>
      <c r="AC200" s="9">
        <v>12.048121297771999</v>
      </c>
      <c r="AD200" s="290" t="s">
        <v>115</v>
      </c>
      <c r="AE200" s="290" t="s">
        <v>302</v>
      </c>
      <c r="AF200" s="9">
        <v>11.534049566203333</v>
      </c>
      <c r="AG200" s="15" t="s">
        <v>127</v>
      </c>
      <c r="AH200" s="51" t="s">
        <v>182</v>
      </c>
      <c r="AI200" s="9">
        <v>11.389673592226666</v>
      </c>
      <c r="AJ200" s="51" t="s">
        <v>115</v>
      </c>
      <c r="AK200" s="64" t="s">
        <v>52</v>
      </c>
      <c r="AL200" s="9">
        <v>11.172274079270833</v>
      </c>
      <c r="AM200" s="15" t="s">
        <v>127</v>
      </c>
      <c r="AN200" s="51" t="s">
        <v>302</v>
      </c>
      <c r="AO200" s="9">
        <v>11.04310463738857</v>
      </c>
      <c r="AP200" s="60"/>
      <c r="AQ200" s="51" t="s">
        <v>115</v>
      </c>
      <c r="AR200" s="9">
        <v>3.385599610186</v>
      </c>
      <c r="AS200" s="15" t="s">
        <v>127</v>
      </c>
      <c r="AT200" s="9">
        <v>2.9879996751550002</v>
      </c>
      <c r="AU200" s="290" t="s">
        <v>115</v>
      </c>
      <c r="AV200" s="9">
        <v>4.5</v>
      </c>
      <c r="AW200" s="15" t="s">
        <v>52</v>
      </c>
      <c r="AX200" s="9">
        <v>87.14665259005001</v>
      </c>
      <c r="AY200" s="290" t="s">
        <v>182</v>
      </c>
      <c r="AZ200" s="9">
        <v>1.3194179691923638</v>
      </c>
      <c r="BA200" s="290" t="s">
        <v>115</v>
      </c>
      <c r="BB200" s="290" t="s">
        <v>182</v>
      </c>
      <c r="BC200" s="9">
        <v>7.0531081790794117</v>
      </c>
      <c r="BD200" s="290" t="s">
        <v>115</v>
      </c>
      <c r="BE200" s="64" t="s">
        <v>52</v>
      </c>
      <c r="BF200" s="9">
        <v>6.8544419196206032</v>
      </c>
      <c r="BG200" s="290" t="s">
        <v>115</v>
      </c>
      <c r="BH200" s="51" t="s">
        <v>302</v>
      </c>
      <c r="BI200" s="9">
        <v>6.3287263277236372</v>
      </c>
      <c r="BJ200" s="51" t="s">
        <v>115</v>
      </c>
      <c r="BK200" s="64" t="s">
        <v>1480</v>
      </c>
      <c r="BL200" s="9">
        <v>6.1434927580305061</v>
      </c>
      <c r="BM200" s="15" t="s">
        <v>127</v>
      </c>
      <c r="BN200" s="290" t="s">
        <v>182</v>
      </c>
      <c r="BO200" s="9">
        <v>5.4294027849944735</v>
      </c>
    </row>
    <row r="201" spans="1:67" x14ac:dyDescent="0.45">
      <c r="A201" s="10">
        <v>180</v>
      </c>
      <c r="B201" s="10" t="s">
        <v>1142</v>
      </c>
      <c r="C201" s="290" t="s">
        <v>1992</v>
      </c>
      <c r="D201" s="65"/>
      <c r="E201" s="80" t="s">
        <v>1892</v>
      </c>
      <c r="F201" s="287" t="s">
        <v>2211</v>
      </c>
      <c r="G201" s="242"/>
      <c r="H201" s="10"/>
      <c r="I201" s="62">
        <v>126.44800160000001</v>
      </c>
      <c r="J201" s="62">
        <v>97.99720124000001</v>
      </c>
      <c r="K201" s="62">
        <v>147.78610187000001</v>
      </c>
      <c r="L201" s="49">
        <v>1521.7229950510568</v>
      </c>
      <c r="M201" s="49">
        <v>1496.831191051717</v>
      </c>
      <c r="N201" s="49">
        <v>1477.211232454662</v>
      </c>
      <c r="O201" s="61">
        <v>13.190037596702329</v>
      </c>
      <c r="P201" s="60"/>
      <c r="Q201" s="51" t="s">
        <v>74</v>
      </c>
      <c r="R201" s="9">
        <v>7.0695040768000004</v>
      </c>
      <c r="S201" s="15" t="s">
        <v>127</v>
      </c>
      <c r="T201" s="9">
        <v>8.3224000800000013</v>
      </c>
      <c r="U201" s="51" t="s">
        <v>74</v>
      </c>
      <c r="V201" s="9">
        <v>13.635999999999999</v>
      </c>
      <c r="W201" s="290" t="s">
        <v>182</v>
      </c>
      <c r="X201" s="9">
        <v>61.695040768000005</v>
      </c>
      <c r="Y201" s="64" t="s">
        <v>52</v>
      </c>
      <c r="Z201" s="9">
        <v>33.04057182857143</v>
      </c>
      <c r="AA201" s="51" t="s">
        <v>74</v>
      </c>
      <c r="AB201" s="51" t="s">
        <v>182</v>
      </c>
      <c r="AC201" s="9">
        <v>13.825954760648649</v>
      </c>
      <c r="AD201" s="64" t="s">
        <v>127</v>
      </c>
      <c r="AE201" s="290" t="s">
        <v>182</v>
      </c>
      <c r="AF201" s="9">
        <v>13.774272155733335</v>
      </c>
      <c r="AG201" s="15" t="s">
        <v>127</v>
      </c>
      <c r="AH201" s="51" t="s">
        <v>302</v>
      </c>
      <c r="AI201" s="9">
        <v>13.381037866971429</v>
      </c>
      <c r="AJ201" s="51" t="s">
        <v>74</v>
      </c>
      <c r="AK201" s="290" t="s">
        <v>302</v>
      </c>
      <c r="AL201" s="9">
        <v>13.353316115775282</v>
      </c>
      <c r="AM201" s="15" t="s">
        <v>127</v>
      </c>
      <c r="AN201" s="15" t="s">
        <v>52</v>
      </c>
      <c r="AO201" s="9">
        <v>12.612330714049589</v>
      </c>
      <c r="AP201" s="60"/>
      <c r="AQ201" s="51" t="s">
        <v>74</v>
      </c>
      <c r="AR201" s="9">
        <v>5.931472062400001</v>
      </c>
      <c r="AS201" s="15" t="s">
        <v>127</v>
      </c>
      <c r="AT201" s="9">
        <v>3.4657360312000005</v>
      </c>
      <c r="AU201" s="290" t="s">
        <v>74</v>
      </c>
      <c r="AV201" s="9">
        <v>3.6666666666666998</v>
      </c>
      <c r="AW201" s="15" t="s">
        <v>52</v>
      </c>
      <c r="AX201" s="9">
        <v>107.84856135200002</v>
      </c>
      <c r="AY201" s="290" t="s">
        <v>182</v>
      </c>
      <c r="AZ201" s="9">
        <v>1.6321181295127274</v>
      </c>
      <c r="BA201" s="290" t="s">
        <v>74</v>
      </c>
      <c r="BB201" s="290" t="s">
        <v>182</v>
      </c>
      <c r="BC201" s="9">
        <v>7.4639910897000012</v>
      </c>
      <c r="BD201" s="290" t="s">
        <v>74</v>
      </c>
      <c r="BE201" s="64" t="s">
        <v>52</v>
      </c>
      <c r="BF201" s="9">
        <v>7.2467747476923092</v>
      </c>
      <c r="BG201" s="290" t="s">
        <v>74</v>
      </c>
      <c r="BH201" s="51" t="s">
        <v>302</v>
      </c>
      <c r="BI201" s="9">
        <v>6.733676354323288</v>
      </c>
      <c r="BJ201" s="15" t="s">
        <v>127</v>
      </c>
      <c r="BK201" s="290" t="s">
        <v>182</v>
      </c>
      <c r="BL201" s="9">
        <v>6.4938329116210527</v>
      </c>
      <c r="BM201" s="15" t="s">
        <v>127</v>
      </c>
      <c r="BN201" s="64" t="s">
        <v>52</v>
      </c>
      <c r="BO201" s="9">
        <v>6.3652589567777786</v>
      </c>
    </row>
    <row r="202" spans="1:67" x14ac:dyDescent="0.45">
      <c r="A202" s="10">
        <v>181</v>
      </c>
      <c r="B202" s="10" t="s">
        <v>188</v>
      </c>
      <c r="C202" s="290" t="s">
        <v>1992</v>
      </c>
      <c r="D202" s="65"/>
      <c r="E202" s="80" t="s">
        <v>1892</v>
      </c>
      <c r="F202" s="287" t="s">
        <v>2211</v>
      </c>
      <c r="G202" s="242"/>
      <c r="H202" s="10"/>
      <c r="I202" s="62">
        <v>178.60780226</v>
      </c>
      <c r="J202" s="62">
        <v>145.41520184000001</v>
      </c>
      <c r="K202" s="62">
        <v>175.44660222000002</v>
      </c>
      <c r="L202" s="49">
        <v>2852.842611663044</v>
      </c>
      <c r="M202" s="49">
        <v>2748.5488870112426</v>
      </c>
      <c r="N202" s="49">
        <v>2667.8658537413621</v>
      </c>
      <c r="O202" s="61">
        <v>22.273672492716997</v>
      </c>
      <c r="P202" s="60"/>
      <c r="Q202" s="51" t="s">
        <v>1484</v>
      </c>
      <c r="R202" s="9">
        <v>22.432936271199999</v>
      </c>
      <c r="S202" s="51" t="s">
        <v>1484</v>
      </c>
      <c r="T202" s="9">
        <v>9.7534505526956519</v>
      </c>
      <c r="U202" s="51" t="s">
        <v>74</v>
      </c>
      <c r="V202" s="9">
        <v>13.635999999999999</v>
      </c>
      <c r="W202" s="290" t="s">
        <v>1483</v>
      </c>
      <c r="X202" s="9">
        <v>151.0305538984</v>
      </c>
      <c r="Y202" s="64" t="s">
        <v>52</v>
      </c>
      <c r="Z202" s="9">
        <v>46.080521993571431</v>
      </c>
      <c r="AA202" s="51" t="s">
        <v>74</v>
      </c>
      <c r="AB202" s="51" t="s">
        <v>1483</v>
      </c>
      <c r="AC202" s="9">
        <v>19.1265592506807</v>
      </c>
      <c r="AD202" s="290" t="s">
        <v>1484</v>
      </c>
      <c r="AE202" s="290" t="s">
        <v>1483</v>
      </c>
      <c r="AF202" s="9">
        <v>18.663744107224808</v>
      </c>
      <c r="AG202" s="51" t="s">
        <v>74</v>
      </c>
      <c r="AH202" s="51" t="s">
        <v>222</v>
      </c>
      <c r="AI202" s="9">
        <v>17.344247813401978</v>
      </c>
      <c r="AJ202" s="51" t="s">
        <v>74</v>
      </c>
      <c r="AK202" s="58" t="s">
        <v>187</v>
      </c>
      <c r="AL202" s="9">
        <v>17.235507423335712</v>
      </c>
      <c r="AM202" s="51" t="s">
        <v>1484</v>
      </c>
      <c r="AN202" s="51" t="s">
        <v>222</v>
      </c>
      <c r="AO202" s="9">
        <v>17.06003676213793</v>
      </c>
      <c r="AP202" s="60"/>
      <c r="AQ202" s="51" t="s">
        <v>1484</v>
      </c>
      <c r="AR202" s="9">
        <v>17.717690291536002</v>
      </c>
      <c r="AS202" s="51" t="s">
        <v>1484</v>
      </c>
      <c r="AT202" s="9">
        <v>3.5435380583072003</v>
      </c>
      <c r="AU202" s="290" t="s">
        <v>74</v>
      </c>
      <c r="AV202" s="9">
        <v>3.6666666666666998</v>
      </c>
      <c r="AW202" s="51" t="s">
        <v>1483</v>
      </c>
      <c r="AX202" s="9">
        <v>209.97112864420001</v>
      </c>
      <c r="AY202" s="290" t="s">
        <v>1483</v>
      </c>
      <c r="AZ202" s="9">
        <v>2.6246391080525</v>
      </c>
      <c r="BA202" s="290" t="s">
        <v>74</v>
      </c>
      <c r="BB202" s="290" t="s">
        <v>1483</v>
      </c>
      <c r="BC202" s="9">
        <v>11.740791865089244</v>
      </c>
      <c r="BD202" s="290" t="s">
        <v>74</v>
      </c>
      <c r="BE202" s="58" t="s">
        <v>187</v>
      </c>
      <c r="BF202" s="9">
        <v>10.694900427326273</v>
      </c>
      <c r="BG202" s="290" t="s">
        <v>74</v>
      </c>
      <c r="BH202" s="51" t="s">
        <v>222</v>
      </c>
      <c r="BI202" s="9">
        <v>10.583231417168586</v>
      </c>
      <c r="BJ202" s="51" t="s">
        <v>74</v>
      </c>
      <c r="BK202" s="64" t="s">
        <v>52</v>
      </c>
      <c r="BL202" s="9">
        <v>10.084881548309955</v>
      </c>
      <c r="BM202" s="51" t="s">
        <v>1484</v>
      </c>
      <c r="BN202" s="290" t="s">
        <v>1483</v>
      </c>
      <c r="BO202" s="9">
        <v>8.5783573408899514</v>
      </c>
    </row>
    <row r="203" spans="1:67" x14ac:dyDescent="0.45">
      <c r="A203" s="10">
        <v>182</v>
      </c>
      <c r="B203" s="10" t="s">
        <v>105</v>
      </c>
      <c r="C203" s="79" t="s">
        <v>1983</v>
      </c>
      <c r="D203" s="65"/>
      <c r="E203" s="63" t="s">
        <v>2265</v>
      </c>
      <c r="F203" s="80" t="s">
        <v>2266</v>
      </c>
      <c r="G203" s="242"/>
      <c r="H203" s="10"/>
      <c r="I203" s="62">
        <v>145.41520184000001</v>
      </c>
      <c r="J203" s="62">
        <v>158.85030201000001</v>
      </c>
      <c r="K203" s="62">
        <v>154.89880196000001</v>
      </c>
      <c r="L203" s="49">
        <v>2281.0135349005923</v>
      </c>
      <c r="M203" s="49">
        <v>2339.3611650802713</v>
      </c>
      <c r="N203" s="49">
        <v>2387.1120610777393</v>
      </c>
      <c r="O203" s="61">
        <v>21.232873158556465</v>
      </c>
      <c r="P203" s="60"/>
      <c r="Q203" s="72" t="s">
        <v>64</v>
      </c>
      <c r="R203" s="9">
        <v>12.34238574352</v>
      </c>
      <c r="S203" s="72" t="s">
        <v>64</v>
      </c>
      <c r="T203" s="9">
        <v>12.34238574352</v>
      </c>
      <c r="U203" s="54" t="s">
        <v>104</v>
      </c>
      <c r="V203" s="9">
        <v>10</v>
      </c>
      <c r="W203" s="79" t="s">
        <v>103</v>
      </c>
      <c r="X203" s="9">
        <v>96.974033214400009</v>
      </c>
      <c r="Y203" s="64" t="s">
        <v>52</v>
      </c>
      <c r="Z203" s="9">
        <v>37.782371888571433</v>
      </c>
      <c r="AA203" s="72" t="s">
        <v>64</v>
      </c>
      <c r="AB203" s="72" t="s">
        <v>169</v>
      </c>
      <c r="AC203" s="9">
        <v>16.873674565031916</v>
      </c>
      <c r="AD203" s="63" t="s">
        <v>104</v>
      </c>
      <c r="AE203" s="79" t="s">
        <v>169</v>
      </c>
      <c r="AF203" s="9">
        <v>16.309256125197674</v>
      </c>
      <c r="AG203" s="72" t="s">
        <v>64</v>
      </c>
      <c r="AH203" s="72" t="s">
        <v>103</v>
      </c>
      <c r="AI203" s="9">
        <v>16.028967009499997</v>
      </c>
      <c r="AJ203" s="72" t="s">
        <v>64</v>
      </c>
      <c r="AK203" s="64" t="s">
        <v>52</v>
      </c>
      <c r="AL203" s="9">
        <v>15.60278501407149</v>
      </c>
      <c r="AM203" s="72" t="s">
        <v>64</v>
      </c>
      <c r="AN203" s="14" t="s">
        <v>63</v>
      </c>
      <c r="AO203" s="9">
        <v>15.209026759946312</v>
      </c>
      <c r="AP203" s="60"/>
      <c r="AQ203" s="72" t="s">
        <v>64</v>
      </c>
      <c r="AR203" s="9">
        <v>13.476624317872002</v>
      </c>
      <c r="AS203" s="72" t="s">
        <v>64</v>
      </c>
      <c r="AT203" s="9">
        <v>6.7383121589360009</v>
      </c>
      <c r="AU203" s="63" t="s">
        <v>104</v>
      </c>
      <c r="AV203" s="9">
        <v>2.5</v>
      </c>
      <c r="AW203" s="72" t="s">
        <v>103</v>
      </c>
      <c r="AX203" s="9">
        <v>125.76624317872002</v>
      </c>
      <c r="AY203" s="79" t="s">
        <v>169</v>
      </c>
      <c r="AZ203" s="9">
        <v>2.297048577275429</v>
      </c>
      <c r="BA203" s="79" t="s">
        <v>64</v>
      </c>
      <c r="BB203" s="79" t="s">
        <v>169</v>
      </c>
      <c r="BC203" s="9">
        <v>10.719846647892975</v>
      </c>
      <c r="BD203" s="79" t="s">
        <v>64</v>
      </c>
      <c r="BE203" s="79" t="s">
        <v>103</v>
      </c>
      <c r="BF203" s="9">
        <v>10.291384726690749</v>
      </c>
      <c r="BG203" s="79" t="s">
        <v>64</v>
      </c>
      <c r="BH203" s="15" t="s">
        <v>52</v>
      </c>
      <c r="BI203" s="9">
        <v>9.9921325310433335</v>
      </c>
      <c r="BJ203" s="72" t="s">
        <v>64</v>
      </c>
      <c r="BK203" s="65" t="s">
        <v>63</v>
      </c>
      <c r="BL203" s="9">
        <v>9.4670220799544449</v>
      </c>
      <c r="BM203" s="54" t="s">
        <v>104</v>
      </c>
      <c r="BN203" s="79" t="s">
        <v>169</v>
      </c>
      <c r="BO203" s="9">
        <v>8.4730033537973348</v>
      </c>
    </row>
    <row r="204" spans="1:67" x14ac:dyDescent="0.45">
      <c r="A204" s="10">
        <v>183</v>
      </c>
      <c r="B204" s="10" t="s">
        <v>1139</v>
      </c>
      <c r="C204" s="288" t="s">
        <v>2144</v>
      </c>
      <c r="D204" s="65"/>
      <c r="E204" s="63" t="s">
        <v>2287</v>
      </c>
      <c r="F204" s="58" t="s">
        <v>2288</v>
      </c>
      <c r="G204" s="78" t="s">
        <v>1893</v>
      </c>
      <c r="H204" s="10"/>
      <c r="I204" s="62">
        <v>41.095600520000005</v>
      </c>
      <c r="J204" s="62">
        <v>85.352401080000007</v>
      </c>
      <c r="K204" s="62">
        <v>147.78610187000001</v>
      </c>
      <c r="L204" s="49">
        <v>461.5513222988223</v>
      </c>
      <c r="M204" s="49">
        <v>645.30214984338306</v>
      </c>
      <c r="N204" s="49">
        <v>843.71855841021318</v>
      </c>
      <c r="O204" s="61">
        <v>11.621938301611795</v>
      </c>
      <c r="P204" s="60"/>
      <c r="Q204" s="73" t="s">
        <v>214</v>
      </c>
      <c r="R204" s="9">
        <v>3.9588832374400003</v>
      </c>
      <c r="S204" s="15" t="s">
        <v>127</v>
      </c>
      <c r="T204" s="9">
        <v>4.0547800260000004</v>
      </c>
      <c r="U204" s="73" t="s">
        <v>214</v>
      </c>
      <c r="V204" s="9">
        <v>11.667</v>
      </c>
      <c r="W204" s="288" t="s">
        <v>306</v>
      </c>
      <c r="X204" s="9">
        <v>13.328680156000001</v>
      </c>
      <c r="Y204" s="288" t="s">
        <v>306</v>
      </c>
      <c r="Z204" s="9">
        <v>7.015094818947369</v>
      </c>
      <c r="AA204" s="15" t="s">
        <v>127</v>
      </c>
      <c r="AB204" s="73" t="s">
        <v>306</v>
      </c>
      <c r="AC204" s="9">
        <v>5.1295439954140134</v>
      </c>
      <c r="AD204" s="64" t="s">
        <v>127</v>
      </c>
      <c r="AE204" s="288" t="s">
        <v>1524</v>
      </c>
      <c r="AF204" s="9">
        <v>4.8939641198216561</v>
      </c>
      <c r="AG204" s="73" t="s">
        <v>214</v>
      </c>
      <c r="AH204" s="73" t="s">
        <v>306</v>
      </c>
      <c r="AI204" s="9">
        <v>4.7832476991791797</v>
      </c>
      <c r="AJ204" s="15" t="s">
        <v>127</v>
      </c>
      <c r="AK204" s="64" t="s">
        <v>1480</v>
      </c>
      <c r="AL204" s="9">
        <v>4.7369108694267528</v>
      </c>
      <c r="AM204" s="73" t="s">
        <v>214</v>
      </c>
      <c r="AN204" s="73" t="s">
        <v>1524</v>
      </c>
      <c r="AO204" s="9">
        <v>4.5240862544584592</v>
      </c>
      <c r="AP204" s="60"/>
      <c r="AQ204" s="73" t="s">
        <v>214</v>
      </c>
      <c r="AR204" s="9">
        <v>3.5643654724480003</v>
      </c>
      <c r="AS204" s="15" t="s">
        <v>127</v>
      </c>
      <c r="AT204" s="9">
        <v>1.80136421014</v>
      </c>
      <c r="AU204" s="288" t="s">
        <v>214</v>
      </c>
      <c r="AV204" s="9">
        <v>3.6666666666666998</v>
      </c>
      <c r="AW204" s="73" t="s">
        <v>2476</v>
      </c>
      <c r="AX204" s="9">
        <v>17.027284202800004</v>
      </c>
      <c r="AY204" s="288" t="s">
        <v>2477</v>
      </c>
      <c r="AZ204" s="9">
        <v>0.48649383436571442</v>
      </c>
      <c r="BA204" s="288" t="s">
        <v>214</v>
      </c>
      <c r="BB204" s="288" t="s">
        <v>306</v>
      </c>
      <c r="BC204" s="9">
        <v>2.6901113600558628</v>
      </c>
      <c r="BD204" s="288" t="s">
        <v>214</v>
      </c>
      <c r="BE204" s="64" t="s">
        <v>1480</v>
      </c>
      <c r="BF204" s="9">
        <v>2.6901113600558628</v>
      </c>
      <c r="BG204" s="64" t="s">
        <v>127</v>
      </c>
      <c r="BH204" s="73" t="s">
        <v>306</v>
      </c>
      <c r="BI204" s="9">
        <v>2.6243869124459462</v>
      </c>
      <c r="BJ204" s="15" t="s">
        <v>127</v>
      </c>
      <c r="BK204" s="64" t="s">
        <v>1480</v>
      </c>
      <c r="BL204" s="9">
        <v>2.6243869124459462</v>
      </c>
      <c r="BM204" s="15" t="s">
        <v>127</v>
      </c>
      <c r="BN204" s="288" t="s">
        <v>1524</v>
      </c>
      <c r="BO204" s="9">
        <v>2.1448060144857144</v>
      </c>
    </row>
    <row r="205" spans="1:67" x14ac:dyDescent="0.45">
      <c r="A205" s="10">
        <v>184</v>
      </c>
      <c r="B205" s="10" t="s">
        <v>1137</v>
      </c>
      <c r="C205" s="288" t="s">
        <v>2144</v>
      </c>
      <c r="D205" s="65"/>
      <c r="E205" s="63" t="s">
        <v>2287</v>
      </c>
      <c r="F205" s="58" t="s">
        <v>2288</v>
      </c>
      <c r="G205" s="78" t="s">
        <v>1893</v>
      </c>
      <c r="H205" s="10"/>
      <c r="I205" s="62">
        <v>100.36810127000001</v>
      </c>
      <c r="J205" s="62">
        <v>131.98010167000001</v>
      </c>
      <c r="K205" s="62">
        <v>189.67200240000003</v>
      </c>
      <c r="L205" s="49">
        <v>1588.0038545590924</v>
      </c>
      <c r="M205" s="49">
        <v>1848.1544574533041</v>
      </c>
      <c r="N205" s="49">
        <v>2086.6405053199164</v>
      </c>
      <c r="O205" s="61">
        <v>22.114284627241798</v>
      </c>
      <c r="P205" s="60"/>
      <c r="Q205" s="55" t="s">
        <v>53</v>
      </c>
      <c r="R205" s="9">
        <v>8.5276075952500001</v>
      </c>
      <c r="S205" s="73" t="s">
        <v>214</v>
      </c>
      <c r="T205" s="9">
        <v>6.8554194095333338</v>
      </c>
      <c r="U205" s="73" t="s">
        <v>214</v>
      </c>
      <c r="V205" s="9">
        <v>11.667</v>
      </c>
      <c r="W205" s="288" t="s">
        <v>197</v>
      </c>
      <c r="X205" s="9">
        <v>79.287118990600007</v>
      </c>
      <c r="Y205" s="288" t="s">
        <v>197</v>
      </c>
      <c r="Z205" s="9">
        <v>24.026399694121217</v>
      </c>
      <c r="AA205" s="73" t="s">
        <v>214</v>
      </c>
      <c r="AB205" s="14" t="s">
        <v>84</v>
      </c>
      <c r="AC205" s="9">
        <v>11.770457357586482</v>
      </c>
      <c r="AD205" s="288" t="s">
        <v>214</v>
      </c>
      <c r="AE205" s="288" t="s">
        <v>197</v>
      </c>
      <c r="AF205" s="9">
        <v>11.247995761404654</v>
      </c>
      <c r="AG205" s="55" t="s">
        <v>53</v>
      </c>
      <c r="AH205" s="14" t="s">
        <v>84</v>
      </c>
      <c r="AI205" s="9">
        <v>10.408171559792553</v>
      </c>
      <c r="AJ205" s="55" t="s">
        <v>53</v>
      </c>
      <c r="AK205" s="288" t="s">
        <v>197</v>
      </c>
      <c r="AL205" s="9">
        <v>10.095901530251533</v>
      </c>
      <c r="AM205" s="73" t="s">
        <v>214</v>
      </c>
      <c r="AN205" s="74" t="s">
        <v>189</v>
      </c>
      <c r="AO205" s="9">
        <v>9.9589849583145025</v>
      </c>
      <c r="AP205" s="60"/>
      <c r="AQ205" s="73" t="s">
        <v>214</v>
      </c>
      <c r="AR205" s="9">
        <v>7.262969519248001</v>
      </c>
      <c r="AS205" s="73" t="s">
        <v>214</v>
      </c>
      <c r="AT205" s="9">
        <v>2.4209898397493337</v>
      </c>
      <c r="AU205" s="288" t="s">
        <v>214</v>
      </c>
      <c r="AV205" s="9">
        <v>3.6666666666666998</v>
      </c>
      <c r="AW205" s="73" t="s">
        <v>197</v>
      </c>
      <c r="AX205" s="9">
        <v>102.77325468778001</v>
      </c>
      <c r="AY205" s="288" t="s">
        <v>197</v>
      </c>
      <c r="AZ205" s="9">
        <v>1.3703100625037334</v>
      </c>
      <c r="BA205" s="288" t="s">
        <v>214</v>
      </c>
      <c r="BB205" s="288" t="s">
        <v>197</v>
      </c>
      <c r="BC205" s="9">
        <v>7.0984259131744931</v>
      </c>
      <c r="BD205" s="288" t="s">
        <v>214</v>
      </c>
      <c r="BE205" s="65" t="s">
        <v>84</v>
      </c>
      <c r="BF205" s="9">
        <v>6.3969667495383256</v>
      </c>
      <c r="BG205" s="288" t="s">
        <v>214</v>
      </c>
      <c r="BH205" s="74" t="s">
        <v>189</v>
      </c>
      <c r="BI205" s="9">
        <v>6.0018866774493755</v>
      </c>
      <c r="BJ205" s="55" t="s">
        <v>53</v>
      </c>
      <c r="BK205" s="288" t="s">
        <v>197</v>
      </c>
      <c r="BL205" s="9">
        <v>5.3223182204163155</v>
      </c>
      <c r="BM205" s="55" t="s">
        <v>53</v>
      </c>
      <c r="BN205" s="65" t="s">
        <v>84</v>
      </c>
      <c r="BO205" s="9">
        <v>4.8796838775319786</v>
      </c>
    </row>
    <row r="206" spans="1:67" x14ac:dyDescent="0.45">
      <c r="A206" s="10">
        <v>185</v>
      </c>
      <c r="B206" s="10" t="s">
        <v>42</v>
      </c>
      <c r="C206" s="56" t="s">
        <v>2025</v>
      </c>
      <c r="D206" s="65"/>
      <c r="E206" s="58" t="s">
        <v>2289</v>
      </c>
      <c r="F206" s="64" t="s">
        <v>2290</v>
      </c>
      <c r="G206" s="242"/>
      <c r="H206" s="10"/>
      <c r="I206" s="62">
        <v>143.83460182000002</v>
      </c>
      <c r="J206" s="62">
        <v>150.94730191000002</v>
      </c>
      <c r="K206" s="62">
        <v>147.78610187000001</v>
      </c>
      <c r="L206" s="49">
        <v>2148.2897174375476</v>
      </c>
      <c r="M206" s="49">
        <v>2175.4455419593555</v>
      </c>
      <c r="N206" s="49">
        <v>2197.417146940089</v>
      </c>
      <c r="O206" s="61">
        <v>19.382219585599508</v>
      </c>
      <c r="P206" s="60"/>
      <c r="Q206" s="52" t="s">
        <v>41</v>
      </c>
      <c r="R206" s="9">
        <v>11.35609133104</v>
      </c>
      <c r="S206" s="52" t="s">
        <v>41</v>
      </c>
      <c r="T206" s="9">
        <v>12.617879256711111</v>
      </c>
      <c r="U206" s="55" t="s">
        <v>45</v>
      </c>
      <c r="V206" s="9">
        <v>8.89</v>
      </c>
      <c r="W206" s="80" t="s">
        <v>79</v>
      </c>
      <c r="X206" s="9">
        <v>101.68422127400001</v>
      </c>
      <c r="Y206" s="56" t="s">
        <v>87</v>
      </c>
      <c r="Z206" s="9">
        <v>37.956852648695659</v>
      </c>
      <c r="AA206" s="52" t="s">
        <v>41</v>
      </c>
      <c r="AB206" s="52" t="s">
        <v>40</v>
      </c>
      <c r="AC206" s="9">
        <v>16.558510620769951</v>
      </c>
      <c r="AD206" s="56" t="s">
        <v>41</v>
      </c>
      <c r="AE206" s="56" t="s">
        <v>87</v>
      </c>
      <c r="AF206" s="9">
        <v>16.306463990987343</v>
      </c>
      <c r="AG206" s="52" t="s">
        <v>41</v>
      </c>
      <c r="AH206" s="71" t="s">
        <v>79</v>
      </c>
      <c r="AI206" s="9">
        <v>15.907929312257311</v>
      </c>
      <c r="AJ206" s="55" t="s">
        <v>45</v>
      </c>
      <c r="AK206" s="56" t="s">
        <v>40</v>
      </c>
      <c r="AL206" s="9">
        <v>15.643073219951951</v>
      </c>
      <c r="AM206" s="55" t="s">
        <v>45</v>
      </c>
      <c r="AN206" s="52" t="s">
        <v>87</v>
      </c>
      <c r="AO206" s="9">
        <v>15.177982179400001</v>
      </c>
      <c r="AP206" s="60"/>
      <c r="AQ206" s="52" t="s">
        <v>41</v>
      </c>
      <c r="AR206" s="9">
        <v>9.9752791535680014</v>
      </c>
      <c r="AS206" s="52" t="s">
        <v>41</v>
      </c>
      <c r="AT206" s="9">
        <v>4.9876395767840007</v>
      </c>
      <c r="AU206" s="58" t="s">
        <v>45</v>
      </c>
      <c r="AV206" s="9">
        <v>3.5</v>
      </c>
      <c r="AW206" s="71" t="s">
        <v>2811</v>
      </c>
      <c r="AX206" s="9">
        <v>113.19098941960002</v>
      </c>
      <c r="AY206" s="56" t="s">
        <v>87</v>
      </c>
      <c r="AZ206" s="9">
        <v>2.058017989447273</v>
      </c>
      <c r="BA206" s="58" t="s">
        <v>45</v>
      </c>
      <c r="BB206" s="56" t="s">
        <v>87</v>
      </c>
      <c r="BC206" s="9">
        <v>10.758152881558974</v>
      </c>
      <c r="BD206" s="58" t="s">
        <v>45</v>
      </c>
      <c r="BE206" s="56" t="s">
        <v>40</v>
      </c>
      <c r="BF206" s="9">
        <v>10.482912464005775</v>
      </c>
      <c r="BG206" s="58" t="s">
        <v>45</v>
      </c>
      <c r="BH206" s="71" t="s">
        <v>79</v>
      </c>
      <c r="BI206" s="9">
        <v>9.8065538692613146</v>
      </c>
      <c r="BJ206" s="52" t="s">
        <v>41</v>
      </c>
      <c r="BK206" s="56" t="s">
        <v>87</v>
      </c>
      <c r="BL206" s="9">
        <v>9.6921330482107848</v>
      </c>
      <c r="BM206" s="52" t="s">
        <v>41</v>
      </c>
      <c r="BN206" s="56" t="s">
        <v>40</v>
      </c>
      <c r="BO206" s="9">
        <v>9.5015949430416864</v>
      </c>
    </row>
    <row r="207" spans="1:67" x14ac:dyDescent="0.45">
      <c r="A207" s="10">
        <v>186</v>
      </c>
      <c r="B207" s="10" t="s">
        <v>237</v>
      </c>
      <c r="C207" s="288" t="s">
        <v>1993</v>
      </c>
      <c r="D207" s="65"/>
      <c r="E207" s="290" t="s">
        <v>2201</v>
      </c>
      <c r="F207" s="59" t="s">
        <v>2202</v>
      </c>
      <c r="G207" s="242"/>
      <c r="H207" s="10"/>
      <c r="I207" s="62">
        <v>149.36670189</v>
      </c>
      <c r="J207" s="62">
        <v>153.31820194000002</v>
      </c>
      <c r="K207" s="62">
        <v>175.44660222000002</v>
      </c>
      <c r="L207" s="49">
        <v>2449.7576990420662</v>
      </c>
      <c r="M207" s="49">
        <v>2527.3282231354874</v>
      </c>
      <c r="N207" s="49">
        <v>2591.1494350019225</v>
      </c>
      <c r="O207" s="61">
        <v>23.323275002168234</v>
      </c>
      <c r="P207" s="60"/>
      <c r="Q207" s="73" t="s">
        <v>214</v>
      </c>
      <c r="R207" s="9">
        <v>11.754402536079999</v>
      </c>
      <c r="S207" s="73" t="s">
        <v>214</v>
      </c>
      <c r="T207" s="9">
        <v>9.7953354467333327</v>
      </c>
      <c r="U207" s="73" t="s">
        <v>2381</v>
      </c>
      <c r="V207" s="9">
        <v>11.667</v>
      </c>
      <c r="W207" s="288" t="s">
        <v>197</v>
      </c>
      <c r="X207" s="9">
        <v>117.5060274742</v>
      </c>
      <c r="Y207" s="64" t="s">
        <v>52</v>
      </c>
      <c r="Z207" s="9">
        <v>38.770246901071431</v>
      </c>
      <c r="AA207" s="73" t="s">
        <v>214</v>
      </c>
      <c r="AB207" s="73" t="s">
        <v>218</v>
      </c>
      <c r="AC207" s="9">
        <v>16.912438175696895</v>
      </c>
      <c r="AD207" s="288" t="s">
        <v>214</v>
      </c>
      <c r="AE207" s="288" t="s">
        <v>197</v>
      </c>
      <c r="AF207" s="9">
        <v>16.398546338204653</v>
      </c>
      <c r="AG207" s="71" t="s">
        <v>144</v>
      </c>
      <c r="AH207" s="73" t="s">
        <v>218</v>
      </c>
      <c r="AI207" s="9">
        <v>15.548436122248209</v>
      </c>
      <c r="AJ207" s="73" t="s">
        <v>214</v>
      </c>
      <c r="AK207" s="64" t="s">
        <v>52</v>
      </c>
      <c r="AL207" s="9">
        <v>15.497225652607094</v>
      </c>
      <c r="AM207" s="71" t="s">
        <v>144</v>
      </c>
      <c r="AN207" s="73" t="s">
        <v>197</v>
      </c>
      <c r="AO207" s="9">
        <v>15.326710624630083</v>
      </c>
      <c r="AP207" s="60"/>
      <c r="AQ207" s="73" t="s">
        <v>214</v>
      </c>
      <c r="AR207" s="9">
        <v>10.320482197936</v>
      </c>
      <c r="AS207" s="73" t="s">
        <v>214</v>
      </c>
      <c r="AT207" s="9">
        <v>3.4401607326453334</v>
      </c>
      <c r="AU207" s="80" t="s">
        <v>144</v>
      </c>
      <c r="AV207" s="9">
        <v>4.5</v>
      </c>
      <c r="AW207" s="73" t="s">
        <v>197</v>
      </c>
      <c r="AX207" s="9">
        <v>152.45783571646001</v>
      </c>
      <c r="AY207" s="288" t="s">
        <v>197</v>
      </c>
      <c r="AZ207" s="9">
        <v>2.0327711428861335</v>
      </c>
      <c r="BA207" s="80" t="s">
        <v>144</v>
      </c>
      <c r="BB207" s="288" t="s">
        <v>197</v>
      </c>
      <c r="BC207" s="9">
        <v>10.475278760768962</v>
      </c>
      <c r="BD207" s="288" t="s">
        <v>214</v>
      </c>
      <c r="BE207" s="288" t="s">
        <v>197</v>
      </c>
      <c r="BF207" s="9">
        <v>10.385899820873984</v>
      </c>
      <c r="BG207" s="288" t="s">
        <v>214</v>
      </c>
      <c r="BH207" s="15" t="s">
        <v>52</v>
      </c>
      <c r="BI207" s="9">
        <v>9.6008925245387786</v>
      </c>
      <c r="BJ207" s="73" t="s">
        <v>214</v>
      </c>
      <c r="BK207" s="288" t="s">
        <v>218</v>
      </c>
      <c r="BL207" s="9">
        <v>9.5941785065493903</v>
      </c>
      <c r="BM207" s="73" t="s">
        <v>214</v>
      </c>
      <c r="BN207" s="80" t="s">
        <v>79</v>
      </c>
      <c r="BO207" s="9">
        <v>9.5310565295244665</v>
      </c>
    </row>
    <row r="208" spans="1:67" x14ac:dyDescent="0.45">
      <c r="A208" s="10">
        <v>187</v>
      </c>
      <c r="B208" s="10" t="s">
        <v>1133</v>
      </c>
      <c r="C208" s="287" t="s">
        <v>2145</v>
      </c>
      <c r="D208" s="291" t="s">
        <v>1919</v>
      </c>
      <c r="E208" s="63" t="s">
        <v>2291</v>
      </c>
      <c r="F208" s="58" t="s">
        <v>2120</v>
      </c>
      <c r="G208" s="79" t="s">
        <v>1983</v>
      </c>
      <c r="H208" s="80" t="s">
        <v>1892</v>
      </c>
      <c r="I208" s="62">
        <v>64.804600820000005</v>
      </c>
      <c r="J208" s="62">
        <v>86.142701090000003</v>
      </c>
      <c r="K208" s="62">
        <v>99.577801260000001</v>
      </c>
      <c r="L208" s="49">
        <v>600.20049433613667</v>
      </c>
      <c r="M208" s="49">
        <v>676.06933615982871</v>
      </c>
      <c r="N208" s="49">
        <v>743.61330250824733</v>
      </c>
      <c r="O208" s="61">
        <v>7.8975817455029089</v>
      </c>
      <c r="P208" s="60"/>
      <c r="Q208" s="72" t="s">
        <v>225</v>
      </c>
      <c r="R208" s="9">
        <v>4.1106208393600001</v>
      </c>
      <c r="S208" s="15" t="s">
        <v>127</v>
      </c>
      <c r="T208" s="9">
        <v>5.2402300410000002</v>
      </c>
      <c r="U208" s="72" t="s">
        <v>225</v>
      </c>
      <c r="V208" s="9">
        <v>12.727</v>
      </c>
      <c r="W208" s="79" t="s">
        <v>23</v>
      </c>
      <c r="X208" s="9">
        <v>35.994484442800001</v>
      </c>
      <c r="Y208" s="79" t="s">
        <v>23</v>
      </c>
      <c r="Z208" s="9">
        <v>13.844032478000001</v>
      </c>
      <c r="AA208" s="15" t="s">
        <v>127</v>
      </c>
      <c r="AB208" s="72" t="s">
        <v>23</v>
      </c>
      <c r="AC208" s="9">
        <v>8.1836361378684224</v>
      </c>
      <c r="AD208" s="79" t="s">
        <v>225</v>
      </c>
      <c r="AE208" s="79" t="s">
        <v>23</v>
      </c>
      <c r="AF208" s="9">
        <v>7.7620768508446387</v>
      </c>
      <c r="AG208" s="15" t="s">
        <v>127</v>
      </c>
      <c r="AH208" s="72" t="s">
        <v>264</v>
      </c>
      <c r="AI208" s="9">
        <v>7.3348990933619636</v>
      </c>
      <c r="AJ208" s="15" t="s">
        <v>127</v>
      </c>
      <c r="AK208" s="65" t="s">
        <v>63</v>
      </c>
      <c r="AL208" s="9">
        <v>7.012170660588235</v>
      </c>
      <c r="AM208" s="72" t="s">
        <v>225</v>
      </c>
      <c r="AN208" s="72" t="s">
        <v>264</v>
      </c>
      <c r="AO208" s="9">
        <v>6.8176279076750763</v>
      </c>
      <c r="AP208" s="60"/>
      <c r="AQ208" s="72" t="s">
        <v>225</v>
      </c>
      <c r="AR208" s="9">
        <v>3.5273794319800005</v>
      </c>
      <c r="AS208" s="15" t="s">
        <v>127</v>
      </c>
      <c r="AT208" s="9">
        <v>2.26368971599</v>
      </c>
      <c r="AU208" s="79" t="s">
        <v>225</v>
      </c>
      <c r="AV208" s="9">
        <v>3.6666666666666998</v>
      </c>
      <c r="AW208" s="14" t="s">
        <v>63</v>
      </c>
      <c r="AX208" s="9">
        <v>47.335289586300007</v>
      </c>
      <c r="AY208" s="79" t="s">
        <v>23</v>
      </c>
      <c r="AZ208" s="9">
        <v>0.92985659551280009</v>
      </c>
      <c r="BA208" s="79" t="s">
        <v>225</v>
      </c>
      <c r="BB208" s="79" t="s">
        <v>23</v>
      </c>
      <c r="BC208" s="9">
        <v>4.2719881933604977</v>
      </c>
      <c r="BD208" s="64" t="s">
        <v>127</v>
      </c>
      <c r="BE208" s="79" t="s">
        <v>23</v>
      </c>
      <c r="BF208" s="9">
        <v>3.9648104875150003</v>
      </c>
      <c r="BG208" s="64" t="s">
        <v>127</v>
      </c>
      <c r="BH208" s="72" t="s">
        <v>264</v>
      </c>
      <c r="BI208" s="9">
        <v>3.52737943198</v>
      </c>
      <c r="BJ208" s="15" t="s">
        <v>127</v>
      </c>
      <c r="BK208" s="65" t="s">
        <v>63</v>
      </c>
      <c r="BL208" s="9">
        <v>3.5156786012763894</v>
      </c>
      <c r="BM208" s="72" t="s">
        <v>225</v>
      </c>
      <c r="BN208" s="79" t="s">
        <v>264</v>
      </c>
      <c r="BO208" s="9">
        <v>3.4954815919754205</v>
      </c>
    </row>
    <row r="209" spans="1:67" x14ac:dyDescent="0.45">
      <c r="A209" s="10">
        <v>188</v>
      </c>
      <c r="B209" s="10" t="s">
        <v>1131</v>
      </c>
      <c r="C209" s="287" t="s">
        <v>2145</v>
      </c>
      <c r="D209" s="291" t="s">
        <v>1919</v>
      </c>
      <c r="E209" s="63" t="s">
        <v>2291</v>
      </c>
      <c r="F209" s="58" t="s">
        <v>2120</v>
      </c>
      <c r="G209" s="79" t="s">
        <v>1983</v>
      </c>
      <c r="H209" s="80" t="s">
        <v>1892</v>
      </c>
      <c r="I209" s="62">
        <v>83.771801060000001</v>
      </c>
      <c r="J209" s="62">
        <v>106.69050135000001</v>
      </c>
      <c r="K209" s="62">
        <v>127.23830161000001</v>
      </c>
      <c r="L209" s="49">
        <v>976.04459853940568</v>
      </c>
      <c r="M209" s="49">
        <v>1089.5010372869503</v>
      </c>
      <c r="N209" s="49">
        <v>1189.6906176714394</v>
      </c>
      <c r="O209" s="61">
        <v>12.266408876857406</v>
      </c>
      <c r="P209" s="60"/>
      <c r="Q209" s="72" t="s">
        <v>225</v>
      </c>
      <c r="R209" s="9">
        <v>5.0210464508800001</v>
      </c>
      <c r="S209" s="15" t="s">
        <v>127</v>
      </c>
      <c r="T209" s="9">
        <v>6.1885900530000004</v>
      </c>
      <c r="U209" s="72" t="s">
        <v>225</v>
      </c>
      <c r="V209" s="9">
        <v>12.727</v>
      </c>
      <c r="W209" s="79" t="s">
        <v>2398</v>
      </c>
      <c r="X209" s="9">
        <v>46.2367725724</v>
      </c>
      <c r="Y209" s="79" t="s">
        <v>23</v>
      </c>
      <c r="Z209" s="9">
        <v>17.78337406630769</v>
      </c>
      <c r="AA209" s="15" t="s">
        <v>127</v>
      </c>
      <c r="AB209" s="72" t="s">
        <v>23</v>
      </c>
      <c r="AC209" s="9">
        <v>10.155226689131581</v>
      </c>
      <c r="AD209" s="79" t="s">
        <v>225</v>
      </c>
      <c r="AE209" s="79" t="s">
        <v>23</v>
      </c>
      <c r="AF209" s="9">
        <v>9.828962128638949</v>
      </c>
      <c r="AG209" s="15" t="s">
        <v>127</v>
      </c>
      <c r="AH209" s="14" t="s">
        <v>63</v>
      </c>
      <c r="AI209" s="9">
        <v>8.6857471523529419</v>
      </c>
      <c r="AJ209" s="15" t="s">
        <v>127</v>
      </c>
      <c r="AK209" s="79" t="s">
        <v>33</v>
      </c>
      <c r="AL209" s="9">
        <v>8.6718789704943831</v>
      </c>
      <c r="AM209" s="72" t="s">
        <v>225</v>
      </c>
      <c r="AN209" s="72" t="s">
        <v>33</v>
      </c>
      <c r="AO209" s="9">
        <v>8.1967804612919704</v>
      </c>
      <c r="AP209" s="60"/>
      <c r="AQ209" s="72" t="s">
        <v>225</v>
      </c>
      <c r="AR209" s="9">
        <v>4.2671002413400005</v>
      </c>
      <c r="AS209" s="15" t="s">
        <v>127</v>
      </c>
      <c r="AT209" s="9">
        <v>2.6335501206700003</v>
      </c>
      <c r="AU209" s="79" t="s">
        <v>225</v>
      </c>
      <c r="AV209" s="9">
        <v>3.6666666666666998</v>
      </c>
      <c r="AW209" s="14" t="s">
        <v>63</v>
      </c>
      <c r="AX209" s="9">
        <v>60.896837757900002</v>
      </c>
      <c r="AY209" s="79" t="s">
        <v>23</v>
      </c>
      <c r="AZ209" s="9">
        <v>1.1961560868823999</v>
      </c>
      <c r="BA209" s="79" t="s">
        <v>225</v>
      </c>
      <c r="BB209" s="79" t="s">
        <v>23</v>
      </c>
      <c r="BC209" s="9">
        <v>5.4114339121262116</v>
      </c>
      <c r="BD209" s="64" t="s">
        <v>127</v>
      </c>
      <c r="BE209" s="79" t="s">
        <v>23</v>
      </c>
      <c r="BF209" s="9">
        <v>4.832559898495</v>
      </c>
      <c r="BG209" s="79" t="s">
        <v>225</v>
      </c>
      <c r="BH209" s="72" t="s">
        <v>33</v>
      </c>
      <c r="BI209" s="9">
        <v>4.7848788600299477</v>
      </c>
      <c r="BJ209" s="15" t="s">
        <v>127</v>
      </c>
      <c r="BK209" s="79" t="s">
        <v>33</v>
      </c>
      <c r="BL209" s="9">
        <v>4.4778809020716128</v>
      </c>
      <c r="BM209" s="72" t="s">
        <v>225</v>
      </c>
      <c r="BN209" s="65" t="s">
        <v>63</v>
      </c>
      <c r="BO209" s="9">
        <v>4.3826345349805438</v>
      </c>
    </row>
    <row r="210" spans="1:67" x14ac:dyDescent="0.45">
      <c r="A210" s="10">
        <v>189</v>
      </c>
      <c r="B210" s="10" t="s">
        <v>1129</v>
      </c>
      <c r="C210" s="287" t="s">
        <v>2145</v>
      </c>
      <c r="D210" s="291" t="s">
        <v>1919</v>
      </c>
      <c r="E210" s="63" t="s">
        <v>2291</v>
      </c>
      <c r="F210" s="58" t="s">
        <v>2120</v>
      </c>
      <c r="G210" s="79" t="s">
        <v>1983</v>
      </c>
      <c r="H210" s="80" t="s">
        <v>1892</v>
      </c>
      <c r="I210" s="62">
        <v>105.10990133000001</v>
      </c>
      <c r="J210" s="62">
        <v>156.47940198000001</v>
      </c>
      <c r="K210" s="62">
        <v>154.89880196000001</v>
      </c>
      <c r="L210" s="49">
        <v>1636.4255311473798</v>
      </c>
      <c r="M210" s="49">
        <v>1865.3739602712733</v>
      </c>
      <c r="N210" s="49">
        <v>2071.3888804322332</v>
      </c>
      <c r="O210" s="61">
        <v>20.95884445206784</v>
      </c>
      <c r="P210" s="60"/>
      <c r="Q210" s="69" t="s">
        <v>10</v>
      </c>
      <c r="R210" s="9">
        <v>6.2554950665000009</v>
      </c>
      <c r="S210" s="69" t="s">
        <v>10</v>
      </c>
      <c r="T210" s="9">
        <v>5.6868136968181817</v>
      </c>
      <c r="U210" s="72" t="s">
        <v>2402</v>
      </c>
      <c r="V210" s="9">
        <v>12.727</v>
      </c>
      <c r="W210" s="79" t="s">
        <v>9</v>
      </c>
      <c r="X210" s="9">
        <v>114.51869343640001</v>
      </c>
      <c r="Y210" s="79" t="s">
        <v>9</v>
      </c>
      <c r="Z210" s="9">
        <v>23.371161925795921</v>
      </c>
      <c r="AA210" s="69" t="s">
        <v>10</v>
      </c>
      <c r="AB210" s="72" t="s">
        <v>9</v>
      </c>
      <c r="AC210" s="9">
        <v>12.011872552437957</v>
      </c>
      <c r="AD210" s="79" t="s">
        <v>225</v>
      </c>
      <c r="AE210" s="79" t="s">
        <v>9</v>
      </c>
      <c r="AF210" s="9">
        <v>11.889116463293432</v>
      </c>
      <c r="AG210" s="69" t="s">
        <v>10</v>
      </c>
      <c r="AH210" s="72" t="s">
        <v>33</v>
      </c>
      <c r="AI210" s="9">
        <v>10.231802987041972</v>
      </c>
      <c r="AJ210" s="69" t="s">
        <v>10</v>
      </c>
      <c r="AK210" s="65" t="s">
        <v>63</v>
      </c>
      <c r="AL210" s="9">
        <v>10.216769833028847</v>
      </c>
      <c r="AM210" s="72" t="s">
        <v>225</v>
      </c>
      <c r="AN210" s="72" t="s">
        <v>33</v>
      </c>
      <c r="AO210" s="9">
        <v>10.13589979239781</v>
      </c>
      <c r="AP210" s="60"/>
      <c r="AQ210" s="72" t="s">
        <v>2402</v>
      </c>
      <c r="AR210" s="9">
        <v>5.0992861518700003</v>
      </c>
      <c r="AS210" s="72" t="s">
        <v>2402</v>
      </c>
      <c r="AT210" s="9">
        <v>1.6997620506233335</v>
      </c>
      <c r="AU210" s="79" t="s">
        <v>2478</v>
      </c>
      <c r="AV210" s="9">
        <v>3.6666666666666998</v>
      </c>
      <c r="AW210" s="72" t="s">
        <v>9</v>
      </c>
      <c r="AX210" s="9">
        <v>123.97858455610002</v>
      </c>
      <c r="AY210" s="79" t="s">
        <v>9</v>
      </c>
      <c r="AZ210" s="9">
        <v>1.5497323069512503</v>
      </c>
      <c r="BA210" s="79" t="s">
        <v>225</v>
      </c>
      <c r="BB210" s="79" t="s">
        <v>9</v>
      </c>
      <c r="BC210" s="9">
        <v>7.0585949094290852</v>
      </c>
      <c r="BD210" s="289" t="s">
        <v>10</v>
      </c>
      <c r="BE210" s="79" t="s">
        <v>9</v>
      </c>
      <c r="BF210" s="9">
        <v>7.0585949094290852</v>
      </c>
      <c r="BG210" s="79" t="s">
        <v>225</v>
      </c>
      <c r="BH210" s="72" t="s">
        <v>33</v>
      </c>
      <c r="BI210" s="9">
        <v>5.908983388389843</v>
      </c>
      <c r="BJ210" s="69" t="s">
        <v>10</v>
      </c>
      <c r="BK210" s="79" t="s">
        <v>33</v>
      </c>
      <c r="BL210" s="9">
        <v>5.908983388389843</v>
      </c>
      <c r="BM210" s="72" t="s">
        <v>225</v>
      </c>
      <c r="BN210" s="65" t="s">
        <v>63</v>
      </c>
      <c r="BO210" s="9">
        <v>5.4056081655717207</v>
      </c>
    </row>
    <row r="211" spans="1:67" x14ac:dyDescent="0.45">
      <c r="A211" s="10">
        <v>190</v>
      </c>
      <c r="B211" s="10" t="s">
        <v>1126</v>
      </c>
      <c r="C211" s="64" t="s">
        <v>1889</v>
      </c>
      <c r="D211" s="65"/>
      <c r="E211" s="58" t="s">
        <v>1903</v>
      </c>
      <c r="F211" s="77"/>
      <c r="G211" s="77" t="s">
        <v>1888</v>
      </c>
      <c r="H211" s="10"/>
      <c r="I211" s="62">
        <v>119.33530151000001</v>
      </c>
      <c r="J211" s="62">
        <v>100.36810127000001</v>
      </c>
      <c r="K211" s="62">
        <v>127.23830161000001</v>
      </c>
      <c r="L211" s="49">
        <v>1348.5769135227795</v>
      </c>
      <c r="M211" s="49">
        <v>1324.3059726189849</v>
      </c>
      <c r="N211" s="49">
        <v>1305.2041060764263</v>
      </c>
      <c r="O211" s="61">
        <v>11.605813297092039</v>
      </c>
      <c r="P211" s="60"/>
      <c r="Q211" s="68" t="s">
        <v>277</v>
      </c>
      <c r="R211" s="9">
        <v>5.7734120604000001</v>
      </c>
      <c r="S211" s="15" t="s">
        <v>1489</v>
      </c>
      <c r="T211" s="9">
        <v>10.59214170872</v>
      </c>
      <c r="U211" s="68" t="s">
        <v>277</v>
      </c>
      <c r="V211" s="9">
        <v>12.727</v>
      </c>
      <c r="W211" s="64" t="s">
        <v>120</v>
      </c>
      <c r="X211" s="9">
        <v>43.960708543599999</v>
      </c>
      <c r="Y211" s="64" t="s">
        <v>120</v>
      </c>
      <c r="Z211" s="9">
        <v>15.700253051285715</v>
      </c>
      <c r="AA211" s="15" t="s">
        <v>1489</v>
      </c>
      <c r="AB211" s="15" t="s">
        <v>120</v>
      </c>
      <c r="AC211" s="9">
        <v>12.172551847856353</v>
      </c>
      <c r="AD211" s="64" t="s">
        <v>1489</v>
      </c>
      <c r="AE211" s="287" t="s">
        <v>203</v>
      </c>
      <c r="AF211" s="9">
        <v>11.870730715977158</v>
      </c>
      <c r="AG211" s="15" t="s">
        <v>1489</v>
      </c>
      <c r="AH211" s="55" t="s">
        <v>201</v>
      </c>
      <c r="AI211" s="9">
        <v>11.373788585989013</v>
      </c>
      <c r="AJ211" s="68" t="s">
        <v>277</v>
      </c>
      <c r="AK211" s="64" t="s">
        <v>120</v>
      </c>
      <c r="AL211" s="9">
        <v>9.5978824058428867</v>
      </c>
      <c r="AM211" s="68" t="s">
        <v>277</v>
      </c>
      <c r="AN211" s="16" t="s">
        <v>203</v>
      </c>
      <c r="AO211" s="9">
        <v>9.4765841483894686</v>
      </c>
      <c r="AP211" s="60"/>
      <c r="AQ211" s="68" t="s">
        <v>277</v>
      </c>
      <c r="AR211" s="9">
        <v>4.878397299075</v>
      </c>
      <c r="AS211" s="15" t="s">
        <v>1489</v>
      </c>
      <c r="AT211" s="9">
        <v>4.723261407112</v>
      </c>
      <c r="AU211" s="77" t="s">
        <v>277</v>
      </c>
      <c r="AV211" s="9">
        <v>3</v>
      </c>
      <c r="AW211" s="15" t="s">
        <v>120</v>
      </c>
      <c r="AX211" s="9">
        <v>56.848921106680002</v>
      </c>
      <c r="AY211" s="64" t="s">
        <v>120</v>
      </c>
      <c r="AZ211" s="9">
        <v>1.033616747394182</v>
      </c>
      <c r="BA211" s="64" t="s">
        <v>1489</v>
      </c>
      <c r="BB211" s="64" t="s">
        <v>120</v>
      </c>
      <c r="BC211" s="9">
        <v>6.5522319228863166</v>
      </c>
      <c r="BD211" s="64" t="s">
        <v>1489</v>
      </c>
      <c r="BE211" s="287" t="s">
        <v>203</v>
      </c>
      <c r="BF211" s="9">
        <v>6.3802447638231916</v>
      </c>
      <c r="BG211" s="64" t="s">
        <v>1489</v>
      </c>
      <c r="BH211" s="55" t="s">
        <v>201</v>
      </c>
      <c r="BI211" s="9">
        <v>6.0234479302304766</v>
      </c>
      <c r="BJ211" s="68" t="s">
        <v>277</v>
      </c>
      <c r="BK211" s="64" t="s">
        <v>120</v>
      </c>
      <c r="BL211" s="9">
        <v>4.4824835713175002</v>
      </c>
      <c r="BM211" s="68" t="s">
        <v>277</v>
      </c>
      <c r="BN211" s="287" t="s">
        <v>203</v>
      </c>
      <c r="BO211" s="9">
        <v>4.253397299075</v>
      </c>
    </row>
    <row r="212" spans="1:67" x14ac:dyDescent="0.45">
      <c r="A212" s="10">
        <v>191</v>
      </c>
      <c r="B212" s="10" t="s">
        <v>1124</v>
      </c>
      <c r="C212" s="79" t="s">
        <v>1983</v>
      </c>
      <c r="D212" s="65"/>
      <c r="E212" s="63" t="s">
        <v>2265</v>
      </c>
      <c r="F212" s="80" t="s">
        <v>2266</v>
      </c>
      <c r="G212" s="242"/>
      <c r="H212" s="10"/>
      <c r="I212" s="62">
        <v>55.321000700000006</v>
      </c>
      <c r="J212" s="62">
        <v>55.321000700000006</v>
      </c>
      <c r="K212" s="62">
        <v>92.465101170000011</v>
      </c>
      <c r="L212" s="49">
        <v>395.66165728210098</v>
      </c>
      <c r="M212" s="49">
        <v>431.02778772330993</v>
      </c>
      <c r="N212" s="49">
        <v>461.58353865613174</v>
      </c>
      <c r="O212" s="61">
        <v>4.8471146913196668</v>
      </c>
      <c r="P212" s="60"/>
      <c r="Q212" s="72" t="s">
        <v>64</v>
      </c>
      <c r="R212" s="9">
        <v>5.3150380546000005</v>
      </c>
      <c r="S212" s="72" t="s">
        <v>64</v>
      </c>
      <c r="T212" s="9">
        <v>5.3150380546000005</v>
      </c>
      <c r="U212" s="15" t="s">
        <v>133</v>
      </c>
      <c r="V212" s="9">
        <v>10</v>
      </c>
      <c r="W212" s="79" t="s">
        <v>2398</v>
      </c>
      <c r="X212" s="9">
        <v>30.873340378000002</v>
      </c>
      <c r="Y212" s="79" t="s">
        <v>23</v>
      </c>
      <c r="Z212" s="9">
        <v>11.874361683846153</v>
      </c>
      <c r="AA212" s="15" t="s">
        <v>133</v>
      </c>
      <c r="AB212" s="72" t="s">
        <v>23</v>
      </c>
      <c r="AC212" s="9">
        <v>7.1978408622368431</v>
      </c>
      <c r="AD212" s="79" t="s">
        <v>64</v>
      </c>
      <c r="AE212" s="79" t="s">
        <v>23</v>
      </c>
      <c r="AF212" s="9">
        <v>7.0654733926099711</v>
      </c>
      <c r="AG212" s="72" t="s">
        <v>64</v>
      </c>
      <c r="AH212" s="72" t="s">
        <v>264</v>
      </c>
      <c r="AI212" s="9">
        <v>6.494644970929909</v>
      </c>
      <c r="AJ212" s="15" t="s">
        <v>133</v>
      </c>
      <c r="AK212" s="79" t="s">
        <v>264</v>
      </c>
      <c r="AL212" s="9">
        <v>6.4679933155214728</v>
      </c>
      <c r="AM212" s="72" t="s">
        <v>64</v>
      </c>
      <c r="AN212" s="72" t="s">
        <v>33</v>
      </c>
      <c r="AO212" s="9">
        <v>6.2337035624320833</v>
      </c>
      <c r="AP212" s="60"/>
      <c r="AQ212" s="72" t="s">
        <v>64</v>
      </c>
      <c r="AR212" s="9">
        <v>5.7465418600600007</v>
      </c>
      <c r="AS212" s="72" t="s">
        <v>64</v>
      </c>
      <c r="AT212" s="9">
        <v>2.8732709300300003</v>
      </c>
      <c r="AU212" s="64" t="s">
        <v>2479</v>
      </c>
      <c r="AV212" s="9">
        <v>2</v>
      </c>
      <c r="AW212" s="72" t="s">
        <v>2397</v>
      </c>
      <c r="AX212" s="9">
        <v>39.835342491400006</v>
      </c>
      <c r="AY212" s="79" t="s">
        <v>23</v>
      </c>
      <c r="AZ212" s="9">
        <v>0.79670684982800011</v>
      </c>
      <c r="BA212" s="79" t="s">
        <v>64</v>
      </c>
      <c r="BB212" s="79" t="s">
        <v>23</v>
      </c>
      <c r="BC212" s="9">
        <v>4.2948890670057702</v>
      </c>
      <c r="BD212" s="79" t="s">
        <v>64</v>
      </c>
      <c r="BE212" s="79" t="s">
        <v>33</v>
      </c>
      <c r="BF212" s="9">
        <v>4.0655958191064521</v>
      </c>
      <c r="BG212" s="79" t="s">
        <v>64</v>
      </c>
      <c r="BH212" s="72" t="s">
        <v>264</v>
      </c>
      <c r="BI212" s="9">
        <v>3.9141965667095242</v>
      </c>
      <c r="BJ212" s="15" t="s">
        <v>133</v>
      </c>
      <c r="BK212" s="79" t="s">
        <v>23</v>
      </c>
      <c r="BL212" s="9">
        <v>3.5309357820250002</v>
      </c>
      <c r="BM212" s="15" t="s">
        <v>133</v>
      </c>
      <c r="BN212" s="79" t="s">
        <v>33</v>
      </c>
      <c r="BO212" s="9">
        <v>3.2967138032548386</v>
      </c>
    </row>
    <row r="213" spans="1:67" x14ac:dyDescent="0.45">
      <c r="A213" s="10">
        <v>192</v>
      </c>
      <c r="B213" s="10" t="s">
        <v>1122</v>
      </c>
      <c r="C213" s="79" t="s">
        <v>1983</v>
      </c>
      <c r="D213" s="65"/>
      <c r="E213" s="63" t="s">
        <v>2265</v>
      </c>
      <c r="F213" s="80" t="s">
        <v>2266</v>
      </c>
      <c r="G213" s="242"/>
      <c r="H213" s="10"/>
      <c r="I213" s="62">
        <v>158.060002</v>
      </c>
      <c r="J213" s="62">
        <v>118.54500150000001</v>
      </c>
      <c r="K213" s="62">
        <v>154.89880196000001</v>
      </c>
      <c r="L213" s="49">
        <v>2141.8430120916819</v>
      </c>
      <c r="M213" s="49">
        <v>2034.7084667266129</v>
      </c>
      <c r="N213" s="49">
        <v>1952.8722646469128</v>
      </c>
      <c r="O213" s="61">
        <v>16.416396913912102</v>
      </c>
      <c r="P213" s="60"/>
      <c r="Q213" s="72" t="s">
        <v>64</v>
      </c>
      <c r="R213" s="9">
        <v>13.328680155999999</v>
      </c>
      <c r="S213" s="72" t="s">
        <v>64</v>
      </c>
      <c r="T213" s="9">
        <v>13.328680155999999</v>
      </c>
      <c r="U213" s="72" t="s">
        <v>225</v>
      </c>
      <c r="V213" s="9">
        <v>12.727</v>
      </c>
      <c r="W213" s="79" t="s">
        <v>9</v>
      </c>
      <c r="X213" s="9">
        <v>171.70480215999999</v>
      </c>
      <c r="Y213" s="79" t="s">
        <v>103</v>
      </c>
      <c r="Z213" s="9">
        <v>40.507538969230765</v>
      </c>
      <c r="AA213" s="72" t="s">
        <v>64</v>
      </c>
      <c r="AB213" s="72" t="s">
        <v>9</v>
      </c>
      <c r="AC213" s="9">
        <v>18.675125854271357</v>
      </c>
      <c r="AD213" s="79" t="s">
        <v>225</v>
      </c>
      <c r="AE213" s="79" t="s">
        <v>9</v>
      </c>
      <c r="AF213" s="9">
        <v>17.547433790364963</v>
      </c>
      <c r="AG213" s="72" t="s">
        <v>64</v>
      </c>
      <c r="AH213" s="72" t="s">
        <v>103</v>
      </c>
      <c r="AI213" s="9">
        <v>17.343738844318182</v>
      </c>
      <c r="AJ213" s="72" t="s">
        <v>64</v>
      </c>
      <c r="AK213" s="63" t="s">
        <v>124</v>
      </c>
      <c r="AL213" s="9">
        <v>16.883540293494704</v>
      </c>
      <c r="AM213" s="72" t="s">
        <v>225</v>
      </c>
      <c r="AN213" s="72" t="s">
        <v>103</v>
      </c>
      <c r="AO213" s="9">
        <v>15.264442288421051</v>
      </c>
      <c r="AP213" s="60"/>
      <c r="AQ213" s="72" t="s">
        <v>64</v>
      </c>
      <c r="AR213" s="9">
        <v>14.5615481716</v>
      </c>
      <c r="AS213" s="72" t="s">
        <v>64</v>
      </c>
      <c r="AT213" s="9">
        <v>7.2807740858000001</v>
      </c>
      <c r="AU213" s="79" t="s">
        <v>225</v>
      </c>
      <c r="AV213" s="9">
        <v>3.6666666666666998</v>
      </c>
      <c r="AW213" s="72" t="s">
        <v>9</v>
      </c>
      <c r="AX213" s="9">
        <v>185.93020233999999</v>
      </c>
      <c r="AY213" s="79" t="s">
        <v>9</v>
      </c>
      <c r="AZ213" s="9">
        <v>2.3241275292500001</v>
      </c>
      <c r="BA213" s="79" t="s">
        <v>64</v>
      </c>
      <c r="BB213" s="79" t="s">
        <v>9</v>
      </c>
      <c r="BC213" s="9">
        <v>11.63807721395122</v>
      </c>
      <c r="BD213" s="79" t="s">
        <v>64</v>
      </c>
      <c r="BE213" s="79" t="s">
        <v>103</v>
      </c>
      <c r="BF213" s="9">
        <v>11.141511627</v>
      </c>
      <c r="BG213" s="79" t="s">
        <v>225</v>
      </c>
      <c r="BH213" s="72" t="s">
        <v>9</v>
      </c>
      <c r="BI213" s="9">
        <v>10.431790565657371</v>
      </c>
      <c r="BJ213" s="72" t="s">
        <v>64</v>
      </c>
      <c r="BK213" s="63" t="s">
        <v>124</v>
      </c>
      <c r="BL213" s="9">
        <v>10.200405891730769</v>
      </c>
      <c r="BM213" s="72" t="s">
        <v>225</v>
      </c>
      <c r="BN213" s="79" t="s">
        <v>103</v>
      </c>
      <c r="BO213" s="9">
        <v>9.5555941939126221</v>
      </c>
    </row>
    <row r="214" spans="1:67" x14ac:dyDescent="0.45">
      <c r="A214" s="10">
        <v>193</v>
      </c>
      <c r="B214" s="10" t="s">
        <v>1120</v>
      </c>
      <c r="C214" s="287" t="s">
        <v>2108</v>
      </c>
      <c r="D214" s="56" t="s">
        <v>2025</v>
      </c>
      <c r="E214" s="287" t="s">
        <v>2205</v>
      </c>
      <c r="F214" s="289" t="s">
        <v>1887</v>
      </c>
      <c r="G214" s="58" t="s">
        <v>2164</v>
      </c>
      <c r="H214" s="80" t="s">
        <v>1892</v>
      </c>
      <c r="I214" s="62">
        <v>133.56070169</v>
      </c>
      <c r="J214" s="62">
        <v>86.142701090000003</v>
      </c>
      <c r="K214" s="62">
        <v>140.67340178000001</v>
      </c>
      <c r="L214" s="49">
        <v>1470.2592811500385</v>
      </c>
      <c r="M214" s="49">
        <v>1378.4979082694563</v>
      </c>
      <c r="N214" s="49">
        <v>1309.2297245838704</v>
      </c>
      <c r="O214" s="61">
        <v>11.156901196027919</v>
      </c>
      <c r="P214" s="60"/>
      <c r="Q214" s="16" t="s">
        <v>1505</v>
      </c>
      <c r="R214" s="9">
        <v>7.4109136811200003</v>
      </c>
      <c r="S214" s="16" t="s">
        <v>1505</v>
      </c>
      <c r="T214" s="9">
        <v>9.2636421014000003</v>
      </c>
      <c r="U214" s="15" t="s">
        <v>291</v>
      </c>
      <c r="V214" s="9">
        <v>12.5</v>
      </c>
      <c r="W214" s="289" t="s">
        <v>1509</v>
      </c>
      <c r="X214" s="9">
        <v>57.095494709800001</v>
      </c>
      <c r="Y214" s="287" t="s">
        <v>203</v>
      </c>
      <c r="Z214" s="9">
        <v>18.781263149041667</v>
      </c>
      <c r="AA214" s="16" t="s">
        <v>1505</v>
      </c>
      <c r="AB214" s="16" t="s">
        <v>203</v>
      </c>
      <c r="AC214" s="9">
        <v>13.522908979073897</v>
      </c>
      <c r="AD214" s="64" t="s">
        <v>291</v>
      </c>
      <c r="AE214" s="287" t="s">
        <v>203</v>
      </c>
      <c r="AF214" s="9">
        <v>13.069037851914475</v>
      </c>
      <c r="AG214" s="16" t="s">
        <v>1505</v>
      </c>
      <c r="AH214" s="69" t="s">
        <v>1509</v>
      </c>
      <c r="AI214" s="9">
        <v>12.688547666907169</v>
      </c>
      <c r="AJ214" s="15" t="s">
        <v>291</v>
      </c>
      <c r="AK214" s="289" t="s">
        <v>1509</v>
      </c>
      <c r="AL214" s="9">
        <v>12.28852171756021</v>
      </c>
      <c r="AM214" s="16" t="s">
        <v>1505</v>
      </c>
      <c r="AN214" s="52" t="s">
        <v>282</v>
      </c>
      <c r="AO214" s="9">
        <v>11.634613175257879</v>
      </c>
      <c r="AP214" s="60"/>
      <c r="AQ214" s="16" t="s">
        <v>1505</v>
      </c>
      <c r="AR214" s="9">
        <v>6.2088673659100007</v>
      </c>
      <c r="AS214" s="16" t="s">
        <v>1505</v>
      </c>
      <c r="AT214" s="9">
        <v>3.1044336829550003</v>
      </c>
      <c r="AU214" s="287" t="s">
        <v>2480</v>
      </c>
      <c r="AV214" s="9">
        <v>3.5</v>
      </c>
      <c r="AW214" s="69" t="s">
        <v>1509</v>
      </c>
      <c r="AX214" s="9">
        <v>73.924143122740006</v>
      </c>
      <c r="AY214" s="289" t="s">
        <v>1509</v>
      </c>
      <c r="AZ214" s="9">
        <v>1.6427587360608891</v>
      </c>
      <c r="BA214" s="287" t="s">
        <v>1505</v>
      </c>
      <c r="BB214" s="289" t="s">
        <v>1509</v>
      </c>
      <c r="BC214" s="9">
        <v>8.215134364176599</v>
      </c>
      <c r="BD214" s="64" t="s">
        <v>291</v>
      </c>
      <c r="BE214" s="289" t="s">
        <v>1509</v>
      </c>
      <c r="BF214" s="9">
        <v>7.8123868874309803</v>
      </c>
      <c r="BG214" s="287" t="s">
        <v>1505</v>
      </c>
      <c r="BH214" s="52" t="s">
        <v>282</v>
      </c>
      <c r="BI214" s="9">
        <v>7.338039859263918</v>
      </c>
      <c r="BJ214" s="16" t="s">
        <v>1505</v>
      </c>
      <c r="BK214" s="287" t="s">
        <v>203</v>
      </c>
      <c r="BL214" s="9">
        <v>7.0874414292888668</v>
      </c>
      <c r="BM214" s="15" t="s">
        <v>291</v>
      </c>
      <c r="BN214" s="56" t="s">
        <v>282</v>
      </c>
      <c r="BO214" s="9">
        <v>6.9352923825182993</v>
      </c>
    </row>
    <row r="215" spans="1:67" x14ac:dyDescent="0.45">
      <c r="A215" s="10">
        <v>194</v>
      </c>
      <c r="B215" s="10" t="s">
        <v>1118</v>
      </c>
      <c r="C215" s="80" t="s">
        <v>2146</v>
      </c>
      <c r="D215" s="79" t="s">
        <v>1983</v>
      </c>
      <c r="E215" s="58"/>
      <c r="F215" s="63" t="s">
        <v>2292</v>
      </c>
      <c r="G215" s="242"/>
      <c r="H215" s="10"/>
      <c r="I215" s="62">
        <v>71.127000899999999</v>
      </c>
      <c r="J215" s="62">
        <v>64.014300810000009</v>
      </c>
      <c r="K215" s="62">
        <v>127.23830161000001</v>
      </c>
      <c r="L215" s="49">
        <v>641.92151467338476</v>
      </c>
      <c r="M215" s="49">
        <v>694.94896283265041</v>
      </c>
      <c r="N215" s="49">
        <v>740.50789741549067</v>
      </c>
      <c r="O215" s="61">
        <v>7.6550389478933383</v>
      </c>
      <c r="P215" s="60"/>
      <c r="Q215" s="71" t="s">
        <v>2403</v>
      </c>
      <c r="R215" s="9">
        <v>3.133810027</v>
      </c>
      <c r="S215" s="73" t="s">
        <v>121</v>
      </c>
      <c r="T215" s="9">
        <v>6.267620054</v>
      </c>
      <c r="U215" s="71" t="s">
        <v>144</v>
      </c>
      <c r="V215" s="9">
        <v>11.667</v>
      </c>
      <c r="W215" s="80" t="s">
        <v>1490</v>
      </c>
      <c r="X215" s="9">
        <v>43.676200539999996</v>
      </c>
      <c r="Y215" s="80" t="s">
        <v>99</v>
      </c>
      <c r="Z215" s="9">
        <v>10.639960998695653</v>
      </c>
      <c r="AA215" s="73" t="s">
        <v>121</v>
      </c>
      <c r="AB215" s="71" t="s">
        <v>99</v>
      </c>
      <c r="AC215" s="9">
        <v>8.0527770077514802</v>
      </c>
      <c r="AD215" s="288" t="s">
        <v>121</v>
      </c>
      <c r="AE215" s="80" t="s">
        <v>1490</v>
      </c>
      <c r="AF215" s="9">
        <v>7.7334330731958767</v>
      </c>
      <c r="AG215" s="71" t="s">
        <v>144</v>
      </c>
      <c r="AH215" s="71" t="s">
        <v>99</v>
      </c>
      <c r="AI215" s="9">
        <v>7.6388838313665754</v>
      </c>
      <c r="AJ215" s="73" t="s">
        <v>121</v>
      </c>
      <c r="AK215" s="64" t="s">
        <v>1480</v>
      </c>
      <c r="AL215" s="9">
        <v>7.5809841538216567</v>
      </c>
      <c r="AM215" s="71" t="s">
        <v>144</v>
      </c>
      <c r="AN215" s="71" t="s">
        <v>1490</v>
      </c>
      <c r="AO215" s="9">
        <v>7.3517314011128772</v>
      </c>
      <c r="AP215" s="60"/>
      <c r="AQ215" s="71" t="s">
        <v>2403</v>
      </c>
      <c r="AR215" s="9">
        <v>2.66437182106</v>
      </c>
      <c r="AS215" s="73" t="s">
        <v>121</v>
      </c>
      <c r="AT215" s="9">
        <v>2.66437182106</v>
      </c>
      <c r="AU215" s="80" t="s">
        <v>144</v>
      </c>
      <c r="AV215" s="9">
        <v>4.5</v>
      </c>
      <c r="AW215" s="71" t="s">
        <v>1490</v>
      </c>
      <c r="AX215" s="9">
        <v>56.479060701999998</v>
      </c>
      <c r="AY215" s="64" t="s">
        <v>1480</v>
      </c>
      <c r="AZ215" s="9">
        <v>0.82112943859999998</v>
      </c>
      <c r="BA215" s="288" t="s">
        <v>121</v>
      </c>
      <c r="BB215" s="64" t="s">
        <v>1480</v>
      </c>
      <c r="BC215" s="9">
        <v>4.7229369681605267</v>
      </c>
      <c r="BD215" s="288" t="s">
        <v>121</v>
      </c>
      <c r="BE215" s="80" t="s">
        <v>99</v>
      </c>
      <c r="BF215" s="9">
        <v>4.6771005349000001</v>
      </c>
      <c r="BG215" s="288" t="s">
        <v>121</v>
      </c>
      <c r="BH215" s="71" t="s">
        <v>1490</v>
      </c>
      <c r="BI215" s="9">
        <v>4.6094810577204814</v>
      </c>
      <c r="BJ215" s="71" t="s">
        <v>144</v>
      </c>
      <c r="BK215" s="64" t="s">
        <v>1480</v>
      </c>
      <c r="BL215" s="9">
        <v>4.4545416062797463</v>
      </c>
      <c r="BM215" s="71" t="s">
        <v>144</v>
      </c>
      <c r="BN215" s="80" t="s">
        <v>99</v>
      </c>
      <c r="BO215" s="9">
        <v>4.3842272282842689</v>
      </c>
    </row>
    <row r="216" spans="1:67" x14ac:dyDescent="0.45">
      <c r="A216" s="10">
        <v>195</v>
      </c>
      <c r="B216" s="10" t="s">
        <v>1116</v>
      </c>
      <c r="C216" s="80" t="s">
        <v>2146</v>
      </c>
      <c r="D216" s="79" t="s">
        <v>1983</v>
      </c>
      <c r="E216" s="58"/>
      <c r="F216" s="63" t="s">
        <v>2292</v>
      </c>
      <c r="G216" s="242"/>
      <c r="H216" s="10"/>
      <c r="I216" s="62">
        <v>131.98010167000001</v>
      </c>
      <c r="J216" s="62">
        <v>124.86740158000001</v>
      </c>
      <c r="K216" s="62">
        <v>182.55930231000002</v>
      </c>
      <c r="L216" s="49">
        <v>1992.6681507769511</v>
      </c>
      <c r="M216" s="49">
        <v>2084.0477572288992</v>
      </c>
      <c r="N216" s="49">
        <v>2160.1594871071366</v>
      </c>
      <c r="O216" s="61">
        <v>20.265238090897039</v>
      </c>
      <c r="P216" s="60"/>
      <c r="Q216" s="71" t="s">
        <v>2403</v>
      </c>
      <c r="R216" s="9">
        <v>4.9594030501000006</v>
      </c>
      <c r="S216" s="73" t="s">
        <v>121</v>
      </c>
      <c r="T216" s="9">
        <v>9.9188061002000012</v>
      </c>
      <c r="U216" s="71" t="s">
        <v>144</v>
      </c>
      <c r="V216" s="9">
        <v>11.667</v>
      </c>
      <c r="W216" s="80" t="s">
        <v>79</v>
      </c>
      <c r="X216" s="9">
        <v>111.8632854028</v>
      </c>
      <c r="Y216" s="80" t="s">
        <v>79</v>
      </c>
      <c r="Z216" s="9">
        <v>31.073134834111112</v>
      </c>
      <c r="AA216" s="73" t="s">
        <v>121</v>
      </c>
      <c r="AB216" s="71" t="s">
        <v>79</v>
      </c>
      <c r="AC216" s="9">
        <v>15.518481353294121</v>
      </c>
      <c r="AD216" s="80" t="s">
        <v>144</v>
      </c>
      <c r="AE216" s="80" t="s">
        <v>79</v>
      </c>
      <c r="AF216" s="9">
        <v>14.782089774150796</v>
      </c>
      <c r="AG216" s="73" t="s">
        <v>121</v>
      </c>
      <c r="AH216" s="54" t="s">
        <v>124</v>
      </c>
      <c r="AI216" s="9">
        <v>14.162475502602742</v>
      </c>
      <c r="AJ216" s="71" t="s">
        <v>144</v>
      </c>
      <c r="AK216" s="63" t="s">
        <v>124</v>
      </c>
      <c r="AL216" s="9">
        <v>13.546950914989155</v>
      </c>
      <c r="AM216" s="73" t="s">
        <v>121</v>
      </c>
      <c r="AN216" s="52" t="s">
        <v>87</v>
      </c>
      <c r="AO216" s="9">
        <v>13.510415596504066</v>
      </c>
      <c r="AP216" s="60"/>
      <c r="AQ216" s="71" t="s">
        <v>2403</v>
      </c>
      <c r="AR216" s="9">
        <v>4.0883343790780007</v>
      </c>
      <c r="AS216" s="73" t="s">
        <v>121</v>
      </c>
      <c r="AT216" s="9">
        <v>4.0883343790780007</v>
      </c>
      <c r="AU216" s="80" t="s">
        <v>144</v>
      </c>
      <c r="AV216" s="9">
        <v>4.5</v>
      </c>
      <c r="AW216" s="71" t="s">
        <v>79</v>
      </c>
      <c r="AX216" s="9">
        <v>124.53337516312001</v>
      </c>
      <c r="AY216" s="80" t="s">
        <v>79</v>
      </c>
      <c r="AZ216" s="9">
        <v>1.9158980794326155</v>
      </c>
      <c r="BA216" s="80" t="s">
        <v>144</v>
      </c>
      <c r="BB216" s="80" t="s">
        <v>79</v>
      </c>
      <c r="BC216" s="9">
        <v>9.9751231014974842</v>
      </c>
      <c r="BD216" s="288" t="s">
        <v>121</v>
      </c>
      <c r="BE216" s="80" t="s">
        <v>79</v>
      </c>
      <c r="BF216" s="9">
        <v>9.4020861783739722</v>
      </c>
      <c r="BG216" s="80" t="s">
        <v>144</v>
      </c>
      <c r="BH216" s="52" t="s">
        <v>87</v>
      </c>
      <c r="BI216" s="9">
        <v>8.4532939967965568</v>
      </c>
      <c r="BJ216" s="73" t="s">
        <v>121</v>
      </c>
      <c r="BK216" s="56" t="s">
        <v>87</v>
      </c>
      <c r="BL216" s="9">
        <v>8.3658549845825885</v>
      </c>
      <c r="BM216" s="73" t="s">
        <v>121</v>
      </c>
      <c r="BN216" s="63" t="s">
        <v>124</v>
      </c>
      <c r="BO216" s="9">
        <v>7.7982203313037735</v>
      </c>
    </row>
    <row r="217" spans="1:67" x14ac:dyDescent="0.45">
      <c r="A217" s="10">
        <v>196</v>
      </c>
      <c r="B217" s="10" t="s">
        <v>1114</v>
      </c>
      <c r="C217" s="242" t="s">
        <v>1925</v>
      </c>
      <c r="D217" s="65"/>
      <c r="E217" s="289" t="s">
        <v>2239</v>
      </c>
      <c r="F217" s="58" t="s">
        <v>2170</v>
      </c>
      <c r="G217" s="242"/>
      <c r="H217" s="10"/>
      <c r="I217" s="62">
        <v>218.12280276000001</v>
      </c>
      <c r="J217" s="62">
        <v>150.15700190000001</v>
      </c>
      <c r="K217" s="62">
        <v>140.67340178000001</v>
      </c>
      <c r="L217" s="49">
        <v>3170.1503403156121</v>
      </c>
      <c r="M217" s="49">
        <v>2768.8903969693265</v>
      </c>
      <c r="N217" s="49">
        <v>2484.7716899027755</v>
      </c>
      <c r="O217" s="61">
        <v>18.365402482847699</v>
      </c>
      <c r="P217" s="60"/>
      <c r="Q217" s="57" t="s">
        <v>101</v>
      </c>
      <c r="R217" s="9">
        <v>27.174736331200002</v>
      </c>
      <c r="S217" s="57" t="s">
        <v>101</v>
      </c>
      <c r="T217" s="9">
        <v>16.984210207</v>
      </c>
      <c r="U217" s="57" t="s">
        <v>101</v>
      </c>
      <c r="V217" s="9">
        <v>9.375</v>
      </c>
      <c r="W217" s="242" t="s">
        <v>295</v>
      </c>
      <c r="X217" s="9">
        <v>158.0484179872</v>
      </c>
      <c r="Y217" s="242" t="s">
        <v>295</v>
      </c>
      <c r="Z217" s="9">
        <v>58.536451106370365</v>
      </c>
      <c r="AA217" s="57" t="s">
        <v>101</v>
      </c>
      <c r="AB217" s="57" t="s">
        <v>82</v>
      </c>
      <c r="AC217" s="9">
        <v>25.74206163045902</v>
      </c>
      <c r="AD217" s="242" t="s">
        <v>101</v>
      </c>
      <c r="AE217" s="242" t="s">
        <v>295</v>
      </c>
      <c r="AF217" s="9">
        <v>25.055508798964027</v>
      </c>
      <c r="AG217" s="57" t="s">
        <v>95</v>
      </c>
      <c r="AH217" s="57" t="s">
        <v>82</v>
      </c>
      <c r="AI217" s="9">
        <v>24.374761745060241</v>
      </c>
      <c r="AJ217" s="57" t="s">
        <v>95</v>
      </c>
      <c r="AK217" s="242" t="s">
        <v>295</v>
      </c>
      <c r="AL217" s="9">
        <v>23.729696056525544</v>
      </c>
      <c r="AM217" s="57" t="s">
        <v>101</v>
      </c>
      <c r="AN217" s="15" t="s">
        <v>1567</v>
      </c>
      <c r="AO217" s="9">
        <v>23.045066681700405</v>
      </c>
      <c r="AP217" s="60"/>
      <c r="AQ217" s="57" t="s">
        <v>101</v>
      </c>
      <c r="AR217" s="9">
        <v>28.221725784448001</v>
      </c>
      <c r="AS217" s="57" t="s">
        <v>101</v>
      </c>
      <c r="AT217" s="9">
        <v>7.0554314461120002</v>
      </c>
      <c r="AU217" s="242" t="s">
        <v>101</v>
      </c>
      <c r="AV217" s="9">
        <v>3</v>
      </c>
      <c r="AW217" s="57" t="s">
        <v>295</v>
      </c>
      <c r="AX217" s="9">
        <v>205.16294338336002</v>
      </c>
      <c r="AY217" s="242" t="s">
        <v>295</v>
      </c>
      <c r="AZ217" s="9">
        <v>3.1563529751286157</v>
      </c>
      <c r="BA217" s="242" t="s">
        <v>101</v>
      </c>
      <c r="BB217" s="242" t="s">
        <v>295</v>
      </c>
      <c r="BC217" s="9">
        <v>15.795468737461178</v>
      </c>
      <c r="BD217" s="242" t="s">
        <v>101</v>
      </c>
      <c r="BE217" s="242" t="s">
        <v>82</v>
      </c>
      <c r="BF217" s="9">
        <v>14.662333657736552</v>
      </c>
      <c r="BG217" s="242" t="s">
        <v>101</v>
      </c>
      <c r="BH217" s="15" t="s">
        <v>1567</v>
      </c>
      <c r="BI217" s="9">
        <v>13.34231462724069</v>
      </c>
      <c r="BJ217" s="57" t="s">
        <v>101</v>
      </c>
      <c r="BK217" s="242" t="s">
        <v>1516</v>
      </c>
      <c r="BL217" s="9">
        <v>12.438270439485715</v>
      </c>
      <c r="BM217" s="57" t="s">
        <v>95</v>
      </c>
      <c r="BN217" s="242" t="s">
        <v>295</v>
      </c>
      <c r="BO217" s="9">
        <v>10.849172877088161</v>
      </c>
    </row>
    <row r="218" spans="1:67" x14ac:dyDescent="0.45">
      <c r="A218" s="10">
        <v>197</v>
      </c>
      <c r="B218" s="10" t="s">
        <v>1112</v>
      </c>
      <c r="C218" s="76" t="s">
        <v>1891</v>
      </c>
      <c r="D218" s="65"/>
      <c r="E218" s="58" t="s">
        <v>2234</v>
      </c>
      <c r="F218" s="77" t="s">
        <v>2167</v>
      </c>
      <c r="G218" s="242" t="s">
        <v>1925</v>
      </c>
      <c r="H218" s="10"/>
      <c r="I218" s="62">
        <v>111.43230141000001</v>
      </c>
      <c r="J218" s="62">
        <v>201.52650255</v>
      </c>
      <c r="K218" s="62">
        <v>182.55930231000002</v>
      </c>
      <c r="L218" s="49">
        <v>2137.367334147119</v>
      </c>
      <c r="M218" s="49">
        <v>2561.5223929786271</v>
      </c>
      <c r="N218" s="49">
        <v>2960.6928043819598</v>
      </c>
      <c r="O218" s="61">
        <v>30.619830377791811</v>
      </c>
      <c r="P218" s="60"/>
      <c r="Q218" s="67" t="s">
        <v>20</v>
      </c>
      <c r="R218" s="9">
        <v>9.0231257015199997</v>
      </c>
      <c r="S218" s="67" t="s">
        <v>14</v>
      </c>
      <c r="T218" s="9">
        <v>8.5399312051111114</v>
      </c>
      <c r="U218" s="67" t="s">
        <v>20</v>
      </c>
      <c r="V218" s="9">
        <v>12.727</v>
      </c>
      <c r="W218" s="76" t="s">
        <v>160</v>
      </c>
      <c r="X218" s="9">
        <v>54.4875046768</v>
      </c>
      <c r="Y218" s="76" t="s">
        <v>30</v>
      </c>
      <c r="Z218" s="9">
        <v>23.900783296100002</v>
      </c>
      <c r="AA218" s="67" t="s">
        <v>20</v>
      </c>
      <c r="AB218" s="67" t="s">
        <v>30</v>
      </c>
      <c r="AC218" s="9">
        <v>13.498532739359035</v>
      </c>
      <c r="AD218" s="76" t="s">
        <v>14</v>
      </c>
      <c r="AE218" s="76" t="s">
        <v>30</v>
      </c>
      <c r="AF218" s="9">
        <v>12.928746088250794</v>
      </c>
      <c r="AG218" s="67" t="s">
        <v>20</v>
      </c>
      <c r="AH218" s="67" t="s">
        <v>160</v>
      </c>
      <c r="AI218" s="9">
        <v>12.515271655167011</v>
      </c>
      <c r="AJ218" s="67" t="s">
        <v>20</v>
      </c>
      <c r="AK218" s="64" t="s">
        <v>1567</v>
      </c>
      <c r="AL218" s="9">
        <v>12.208993556056484</v>
      </c>
      <c r="AM218" s="67" t="s">
        <v>14</v>
      </c>
      <c r="AN218" s="67" t="s">
        <v>160</v>
      </c>
      <c r="AO218" s="9">
        <v>12.148395087794444</v>
      </c>
      <c r="AP218" s="60"/>
      <c r="AQ218" s="67" t="s">
        <v>14</v>
      </c>
      <c r="AR218" s="9">
        <v>6.2150317059880003</v>
      </c>
      <c r="AS218" s="67" t="s">
        <v>14</v>
      </c>
      <c r="AT218" s="9">
        <v>3.1075158529940001</v>
      </c>
      <c r="AU218" s="76" t="s">
        <v>20</v>
      </c>
      <c r="AV218" s="9">
        <v>4.3333333333333002</v>
      </c>
      <c r="AW218" s="67" t="s">
        <v>160</v>
      </c>
      <c r="AX218" s="9">
        <v>70.533756079840003</v>
      </c>
      <c r="AY218" s="76" t="s">
        <v>160</v>
      </c>
      <c r="AZ218" s="9">
        <v>1.4106751215968001</v>
      </c>
      <c r="BA218" s="76" t="s">
        <v>20</v>
      </c>
      <c r="BB218" s="76" t="s">
        <v>160</v>
      </c>
      <c r="BC218" s="9">
        <v>7.2652258698614727</v>
      </c>
      <c r="BD218" s="76" t="s">
        <v>20</v>
      </c>
      <c r="BE218" s="76" t="s">
        <v>30</v>
      </c>
      <c r="BF218" s="9">
        <v>7.0575011106941217</v>
      </c>
      <c r="BG218" s="76" t="s">
        <v>14</v>
      </c>
      <c r="BH218" s="67" t="s">
        <v>160</v>
      </c>
      <c r="BI218" s="9">
        <v>6.9240954884758485</v>
      </c>
      <c r="BJ218" s="67" t="s">
        <v>14</v>
      </c>
      <c r="BK218" s="76" t="s">
        <v>30</v>
      </c>
      <c r="BL218" s="9">
        <v>6.7784233977981252</v>
      </c>
      <c r="BM218" s="67" t="s">
        <v>20</v>
      </c>
      <c r="BN218" s="64" t="s">
        <v>1567</v>
      </c>
      <c r="BO218" s="9">
        <v>6.4857580828511239</v>
      </c>
    </row>
    <row r="219" spans="1:67" x14ac:dyDescent="0.45">
      <c r="A219" s="10">
        <v>198</v>
      </c>
      <c r="B219" s="10" t="s">
        <v>1111</v>
      </c>
      <c r="C219" s="287" t="s">
        <v>2147</v>
      </c>
      <c r="D219" s="65"/>
      <c r="E219" s="56" t="s">
        <v>2293</v>
      </c>
      <c r="F219" s="77" t="s">
        <v>2294</v>
      </c>
      <c r="G219" s="80" t="s">
        <v>2175</v>
      </c>
      <c r="H219" s="10"/>
      <c r="I219" s="62">
        <v>150.15700190000001</v>
      </c>
      <c r="J219" s="62">
        <v>80.610601020000004</v>
      </c>
      <c r="K219" s="62">
        <v>134.35100170000001</v>
      </c>
      <c r="L219" s="49">
        <v>1562.651461227332</v>
      </c>
      <c r="M219" s="49">
        <v>1382.8840607354541</v>
      </c>
      <c r="N219" s="49">
        <v>1254.0784059285627</v>
      </c>
      <c r="O219" s="61">
        <v>10.022217979773085</v>
      </c>
      <c r="P219" s="60"/>
      <c r="Q219" s="67" t="s">
        <v>2400</v>
      </c>
      <c r="R219" s="9">
        <v>10.009420114000001</v>
      </c>
      <c r="S219" s="67" t="s">
        <v>14</v>
      </c>
      <c r="T219" s="9">
        <v>11.121577904444445</v>
      </c>
      <c r="U219" s="67" t="s">
        <v>2400</v>
      </c>
      <c r="V219" s="9">
        <v>10</v>
      </c>
      <c r="W219" s="76" t="s">
        <v>160</v>
      </c>
      <c r="X219" s="9">
        <v>73.075360912000008</v>
      </c>
      <c r="Y219" s="76" t="s">
        <v>30</v>
      </c>
      <c r="Z219" s="9">
        <v>32.032970399</v>
      </c>
      <c r="AA219" s="67" t="s">
        <v>14</v>
      </c>
      <c r="AB219" s="67" t="s">
        <v>30</v>
      </c>
      <c r="AC219" s="9">
        <v>17.096261474317462</v>
      </c>
      <c r="AD219" s="76" t="s">
        <v>14</v>
      </c>
      <c r="AE219" s="287" t="s">
        <v>146</v>
      </c>
      <c r="AF219" s="9">
        <v>16.354162195055885</v>
      </c>
      <c r="AG219" s="16" t="s">
        <v>1515</v>
      </c>
      <c r="AH219" s="67" t="s">
        <v>30</v>
      </c>
      <c r="AI219" s="9">
        <v>16.301863052571431</v>
      </c>
      <c r="AJ219" s="67" t="s">
        <v>14</v>
      </c>
      <c r="AK219" s="76" t="s">
        <v>160</v>
      </c>
      <c r="AL219" s="9">
        <v>16.085406304277779</v>
      </c>
      <c r="AM219" s="16" t="s">
        <v>1515</v>
      </c>
      <c r="AN219" s="16" t="s">
        <v>146</v>
      </c>
      <c r="AO219" s="9">
        <v>15.696080662248523</v>
      </c>
      <c r="AP219" s="60"/>
      <c r="AQ219" s="67" t="s">
        <v>2400</v>
      </c>
      <c r="AR219" s="9">
        <v>8.0273476889200008</v>
      </c>
      <c r="AS219" s="67" t="s">
        <v>2400</v>
      </c>
      <c r="AT219" s="9">
        <v>4.0136738444600004</v>
      </c>
      <c r="AU219" s="76" t="s">
        <v>14</v>
      </c>
      <c r="AV219" s="9">
        <v>3</v>
      </c>
      <c r="AW219" s="67" t="s">
        <v>160</v>
      </c>
      <c r="AX219" s="9">
        <v>94.697969185600016</v>
      </c>
      <c r="AY219" s="76" t="s">
        <v>160</v>
      </c>
      <c r="AZ219" s="9">
        <v>1.8939593837120003</v>
      </c>
      <c r="BA219" s="76" t="s">
        <v>14</v>
      </c>
      <c r="BB219" s="76" t="s">
        <v>160</v>
      </c>
      <c r="BC219" s="9">
        <v>9.1467471656566044</v>
      </c>
      <c r="BD219" s="76" t="s">
        <v>14</v>
      </c>
      <c r="BE219" s="76" t="s">
        <v>30</v>
      </c>
      <c r="BF219" s="9">
        <v>8.9494269190187516</v>
      </c>
      <c r="BG219" s="76" t="s">
        <v>14</v>
      </c>
      <c r="BH219" s="16" t="s">
        <v>146</v>
      </c>
      <c r="BI219" s="9">
        <v>8.7062182429302339</v>
      </c>
      <c r="BJ219" s="16" t="s">
        <v>1515</v>
      </c>
      <c r="BK219" s="76" t="s">
        <v>160</v>
      </c>
      <c r="BL219" s="9">
        <v>8.3319736226095245</v>
      </c>
      <c r="BM219" s="16" t="s">
        <v>1515</v>
      </c>
      <c r="BN219" s="76" t="s">
        <v>30</v>
      </c>
      <c r="BO219" s="9">
        <v>8.1700974861936846</v>
      </c>
    </row>
    <row r="220" spans="1:67" x14ac:dyDescent="0.45">
      <c r="A220" s="10">
        <v>199</v>
      </c>
      <c r="B220" s="10" t="s">
        <v>1108</v>
      </c>
      <c r="C220" s="288" t="s">
        <v>2124</v>
      </c>
      <c r="D220" s="65"/>
      <c r="E220" s="289" t="s">
        <v>2246</v>
      </c>
      <c r="F220" s="58" t="s">
        <v>2247</v>
      </c>
      <c r="G220" s="242"/>
      <c r="H220" s="10"/>
      <c r="I220" s="62">
        <v>151.73760192</v>
      </c>
      <c r="J220" s="62">
        <v>154.10850195</v>
      </c>
      <c r="K220" s="62">
        <v>182.55930231000002</v>
      </c>
      <c r="L220" s="49">
        <v>2545.1213799412426</v>
      </c>
      <c r="M220" s="49">
        <v>2631.5756235163703</v>
      </c>
      <c r="N220" s="49">
        <v>2702.8487242794199</v>
      </c>
      <c r="O220" s="61">
        <v>24.377205911312263</v>
      </c>
      <c r="P220" s="60"/>
      <c r="Q220" s="57" t="s">
        <v>101</v>
      </c>
      <c r="R220" s="9">
        <v>19.2085122304</v>
      </c>
      <c r="S220" s="57" t="s">
        <v>101</v>
      </c>
      <c r="T220" s="9">
        <v>12.005320143999999</v>
      </c>
      <c r="U220" s="73" t="s">
        <v>121</v>
      </c>
      <c r="V220" s="9">
        <v>10</v>
      </c>
      <c r="W220" s="75" t="s">
        <v>19</v>
      </c>
      <c r="X220" s="9">
        <v>107.21632134400001</v>
      </c>
      <c r="Y220" s="291" t="s">
        <v>132</v>
      </c>
      <c r="Z220" s="9">
        <v>32.138529434838709</v>
      </c>
      <c r="AA220" s="57" t="s">
        <v>101</v>
      </c>
      <c r="AB220" s="57" t="s">
        <v>82</v>
      </c>
      <c r="AC220" s="9">
        <v>18.069673664524593</v>
      </c>
      <c r="AD220" s="288" t="s">
        <v>121</v>
      </c>
      <c r="AE220" s="242" t="s">
        <v>82</v>
      </c>
      <c r="AF220" s="9">
        <v>17.75122892471795</v>
      </c>
      <c r="AG220" s="57" t="s">
        <v>101</v>
      </c>
      <c r="AH220" s="74" t="s">
        <v>132</v>
      </c>
      <c r="AI220" s="9">
        <v>16.369862018237761</v>
      </c>
      <c r="AJ220" s="73" t="s">
        <v>121</v>
      </c>
      <c r="AK220" s="291" t="s">
        <v>132</v>
      </c>
      <c r="AL220" s="9">
        <v>16.081832244274811</v>
      </c>
      <c r="AM220" s="57" t="s">
        <v>101</v>
      </c>
      <c r="AN220" s="70" t="s">
        <v>19</v>
      </c>
      <c r="AO220" s="9">
        <v>15.69324071148052</v>
      </c>
      <c r="AP220" s="60"/>
      <c r="AQ220" s="57" t="s">
        <v>101</v>
      </c>
      <c r="AR220" s="9">
        <v>19.936852719616002</v>
      </c>
      <c r="AS220" s="57" t="s">
        <v>101</v>
      </c>
      <c r="AT220" s="9">
        <v>4.9842131799040006</v>
      </c>
      <c r="AU220" s="242" t="s">
        <v>2457</v>
      </c>
      <c r="AV220" s="9">
        <v>3</v>
      </c>
      <c r="AW220" s="70" t="s">
        <v>19</v>
      </c>
      <c r="AX220" s="9">
        <v>139.08121774720001</v>
      </c>
      <c r="AY220" s="242" t="s">
        <v>82</v>
      </c>
      <c r="AZ220" s="9">
        <v>1.9549053917789092</v>
      </c>
      <c r="BA220" s="242" t="s">
        <v>101</v>
      </c>
      <c r="BB220" s="242" t="s">
        <v>82</v>
      </c>
      <c r="BC220" s="9">
        <v>10.287777836866207</v>
      </c>
      <c r="BD220" s="288" t="s">
        <v>121</v>
      </c>
      <c r="BE220" s="242" t="s">
        <v>82</v>
      </c>
      <c r="BF220" s="9">
        <v>9.8766497123200008</v>
      </c>
      <c r="BG220" s="242" t="s">
        <v>101</v>
      </c>
      <c r="BH220" s="70" t="s">
        <v>19</v>
      </c>
      <c r="BI220" s="9">
        <v>9.8310928630592773</v>
      </c>
      <c r="BJ220" s="57" t="s">
        <v>101</v>
      </c>
      <c r="BK220" s="291" t="s">
        <v>132</v>
      </c>
      <c r="BL220" s="9">
        <v>9.7624462738461553</v>
      </c>
      <c r="BM220" s="73" t="s">
        <v>121</v>
      </c>
      <c r="BN220" s="75" t="s">
        <v>19</v>
      </c>
      <c r="BO220" s="9">
        <v>9.4132101691065078</v>
      </c>
    </row>
    <row r="221" spans="1:67" x14ac:dyDescent="0.45">
      <c r="A221" s="10">
        <v>200</v>
      </c>
      <c r="B221" s="10" t="s">
        <v>1106</v>
      </c>
      <c r="C221" s="77" t="s">
        <v>1888</v>
      </c>
      <c r="D221" s="65"/>
      <c r="E221" s="77" t="s">
        <v>2167</v>
      </c>
      <c r="F221" s="63" t="s">
        <v>2109</v>
      </c>
      <c r="G221" s="64" t="s">
        <v>2295</v>
      </c>
      <c r="H221" s="10"/>
      <c r="I221" s="62">
        <v>143.83460182000002</v>
      </c>
      <c r="J221" s="62">
        <v>133.56070169</v>
      </c>
      <c r="K221" s="62">
        <v>134.35100170000001</v>
      </c>
      <c r="L221" s="49">
        <v>1926.7402760559048</v>
      </c>
      <c r="M221" s="49">
        <v>1881.5769501011971</v>
      </c>
      <c r="N221" s="49">
        <v>1846.2097103428496</v>
      </c>
      <c r="O221" s="61">
        <v>15.829777825796238</v>
      </c>
      <c r="P221" s="60"/>
      <c r="Q221" s="68" t="s">
        <v>70</v>
      </c>
      <c r="R221" s="9">
        <v>9.6300761092000009</v>
      </c>
      <c r="S221" s="68" t="s">
        <v>70</v>
      </c>
      <c r="T221" s="9">
        <v>8.0250634243333341</v>
      </c>
      <c r="U221" s="68" t="s">
        <v>277</v>
      </c>
      <c r="V221" s="9">
        <v>12.727</v>
      </c>
      <c r="W221" s="76" t="s">
        <v>160</v>
      </c>
      <c r="X221" s="9">
        <v>58.533840728000008</v>
      </c>
      <c r="Y221" s="76" t="s">
        <v>160</v>
      </c>
      <c r="Z221" s="9">
        <v>19.511280242666668</v>
      </c>
      <c r="AA221" s="68" t="s">
        <v>70</v>
      </c>
      <c r="AB221" s="68" t="s">
        <v>1486</v>
      </c>
      <c r="AC221" s="9">
        <v>13.198097250514543</v>
      </c>
      <c r="AD221" s="77" t="s">
        <v>70</v>
      </c>
      <c r="AE221" s="76" t="s">
        <v>160</v>
      </c>
      <c r="AF221" s="9">
        <v>12.947727775047621</v>
      </c>
      <c r="AG221" s="68" t="s">
        <v>277</v>
      </c>
      <c r="AH221" s="68" t="s">
        <v>1486</v>
      </c>
      <c r="AI221" s="9">
        <v>12.8011716924879</v>
      </c>
      <c r="AJ221" s="68" t="s">
        <v>277</v>
      </c>
      <c r="AK221" s="76" t="s">
        <v>160</v>
      </c>
      <c r="AL221" s="9">
        <v>12.522441387216496</v>
      </c>
      <c r="AM221" s="68" t="s">
        <v>70</v>
      </c>
      <c r="AN221" s="68" t="s">
        <v>151</v>
      </c>
      <c r="AO221" s="9">
        <v>11.775547846267468</v>
      </c>
      <c r="AP221" s="60"/>
      <c r="AQ221" s="68" t="s">
        <v>70</v>
      </c>
      <c r="AR221" s="9">
        <v>7.7314593651760006</v>
      </c>
      <c r="AS221" s="68" t="s">
        <v>70</v>
      </c>
      <c r="AT221" s="9">
        <v>2.5771531217253334</v>
      </c>
      <c r="AU221" s="77" t="s">
        <v>70</v>
      </c>
      <c r="AV221" s="9">
        <v>3.6666666666666998</v>
      </c>
      <c r="AW221" s="67" t="s">
        <v>160</v>
      </c>
      <c r="AX221" s="9">
        <v>75.79399294640001</v>
      </c>
      <c r="AY221" s="76" t="s">
        <v>160</v>
      </c>
      <c r="AZ221" s="9">
        <v>1.5158798589280003</v>
      </c>
      <c r="BA221" s="77" t="s">
        <v>70</v>
      </c>
      <c r="BB221" s="76" t="s">
        <v>160</v>
      </c>
      <c r="BC221" s="9">
        <v>7.5795459047776408</v>
      </c>
      <c r="BD221" s="77" t="s">
        <v>70</v>
      </c>
      <c r="BE221" s="77" t="s">
        <v>1486</v>
      </c>
      <c r="BF221" s="9">
        <v>7.1550291329377105</v>
      </c>
      <c r="BG221" s="77" t="s">
        <v>70</v>
      </c>
      <c r="BH221" s="68" t="s">
        <v>151</v>
      </c>
      <c r="BI221" s="9">
        <v>6.6846994057583569</v>
      </c>
      <c r="BJ221" s="68" t="s">
        <v>277</v>
      </c>
      <c r="BK221" s="76" t="s">
        <v>160</v>
      </c>
      <c r="BL221" s="9">
        <v>6.3687006922427694</v>
      </c>
      <c r="BM221" s="68" t="s">
        <v>277</v>
      </c>
      <c r="BN221" s="77" t="s">
        <v>1486</v>
      </c>
      <c r="BO221" s="9">
        <v>6.0328793118403112</v>
      </c>
    </row>
    <row r="222" spans="1:67" x14ac:dyDescent="0.45">
      <c r="A222" s="10">
        <v>201</v>
      </c>
      <c r="B222" s="10" t="s">
        <v>1104</v>
      </c>
      <c r="C222" s="242" t="s">
        <v>1925</v>
      </c>
      <c r="D222" s="65"/>
      <c r="E222" s="289" t="s">
        <v>2239</v>
      </c>
      <c r="F222" s="58" t="s">
        <v>2170</v>
      </c>
      <c r="G222" s="242"/>
      <c r="H222" s="10"/>
      <c r="I222" s="62">
        <v>119.33530151000001</v>
      </c>
      <c r="J222" s="62">
        <v>83.771801060000001</v>
      </c>
      <c r="K222" s="62">
        <v>117.75470149</v>
      </c>
      <c r="L222" s="49">
        <v>1185.2418808660027</v>
      </c>
      <c r="M222" s="49">
        <v>1114.8848882778768</v>
      </c>
      <c r="N222" s="49">
        <v>1061.6184576947373</v>
      </c>
      <c r="O222" s="61">
        <v>9.1020299821898067</v>
      </c>
      <c r="P222" s="60"/>
      <c r="Q222" s="57" t="s">
        <v>1536</v>
      </c>
      <c r="R222" s="9">
        <v>11.7401771359</v>
      </c>
      <c r="S222" s="57" t="s">
        <v>1536</v>
      </c>
      <c r="T222" s="9">
        <v>7.8267847572666662</v>
      </c>
      <c r="U222" s="71" t="s">
        <v>2808</v>
      </c>
      <c r="V222" s="9">
        <v>10</v>
      </c>
      <c r="W222" s="64" t="s">
        <v>645</v>
      </c>
      <c r="X222" s="9">
        <v>21.883677764250002</v>
      </c>
      <c r="Y222" s="64" t="s">
        <v>645</v>
      </c>
      <c r="Z222" s="9">
        <v>9.9471262564772722</v>
      </c>
      <c r="AA222" s="57" t="s">
        <v>1536</v>
      </c>
      <c r="AB222" s="15" t="s">
        <v>645</v>
      </c>
      <c r="AC222" s="9">
        <v>8.6698121003263058</v>
      </c>
      <c r="AD222" s="80" t="s">
        <v>1518</v>
      </c>
      <c r="AE222" s="64" t="s">
        <v>645</v>
      </c>
      <c r="AF222" s="9">
        <v>7.9509247418323312</v>
      </c>
      <c r="AG222" s="52" t="s">
        <v>1500</v>
      </c>
      <c r="AH222" s="15" t="s">
        <v>645</v>
      </c>
      <c r="AI222" s="9">
        <v>7.9509247418323312</v>
      </c>
      <c r="AJ222" s="67" t="s">
        <v>1502</v>
      </c>
      <c r="AK222" s="64" t="s">
        <v>645</v>
      </c>
      <c r="AL222" s="9">
        <v>7.9509247418323312</v>
      </c>
      <c r="AM222" s="54" t="s">
        <v>1521</v>
      </c>
      <c r="AN222" s="15" t="s">
        <v>645</v>
      </c>
      <c r="AO222" s="9">
        <v>7.9509247418323312</v>
      </c>
      <c r="AP222" s="60"/>
      <c r="AQ222" s="57" t="s">
        <v>1536</v>
      </c>
      <c r="AR222" s="9">
        <v>9.3773381660020014</v>
      </c>
      <c r="AS222" s="57" t="s">
        <v>1536</v>
      </c>
      <c r="AT222" s="9">
        <v>3.125779388667334</v>
      </c>
      <c r="AU222" s="80" t="s">
        <v>2474</v>
      </c>
      <c r="AV222" s="9">
        <v>2.6666666666666998</v>
      </c>
      <c r="AW222" s="15" t="s">
        <v>645</v>
      </c>
      <c r="AX222" s="9">
        <v>28.148781093525002</v>
      </c>
      <c r="AY222" s="64" t="s">
        <v>645</v>
      </c>
      <c r="AZ222" s="9">
        <v>0.28148781093525005</v>
      </c>
      <c r="BA222" s="242" t="s">
        <v>1536</v>
      </c>
      <c r="BB222" s="64" t="s">
        <v>645</v>
      </c>
      <c r="BC222" s="9">
        <v>3.775727484897403</v>
      </c>
      <c r="BD222" s="80" t="s">
        <v>1518</v>
      </c>
      <c r="BE222" s="64" t="s">
        <v>645</v>
      </c>
      <c r="BF222" s="9">
        <v>3.3224083200704544</v>
      </c>
      <c r="BG222" s="56" t="s">
        <v>1500</v>
      </c>
      <c r="BH222" s="15" t="s">
        <v>645</v>
      </c>
      <c r="BI222" s="9">
        <v>3.3224083200704544</v>
      </c>
      <c r="BJ222" s="67" t="s">
        <v>1502</v>
      </c>
      <c r="BK222" s="64" t="s">
        <v>645</v>
      </c>
      <c r="BL222" s="9">
        <v>3.3224083200704544</v>
      </c>
      <c r="BM222" s="54" t="s">
        <v>1521</v>
      </c>
      <c r="BN222" s="64" t="s">
        <v>645</v>
      </c>
      <c r="BO222" s="9">
        <v>3.3224083200704544</v>
      </c>
    </row>
    <row r="223" spans="1:67" x14ac:dyDescent="0.45">
      <c r="A223" s="10">
        <v>202</v>
      </c>
      <c r="B223" s="10" t="s">
        <v>1102</v>
      </c>
      <c r="C223" s="242" t="s">
        <v>1925</v>
      </c>
      <c r="D223" s="65"/>
      <c r="E223" s="289" t="s">
        <v>2239</v>
      </c>
      <c r="F223" s="58" t="s">
        <v>2170</v>
      </c>
      <c r="G223" s="242"/>
      <c r="H223" s="10"/>
      <c r="I223" s="62">
        <v>59.272500750000006</v>
      </c>
      <c r="J223" s="62">
        <v>95.626301210000008</v>
      </c>
      <c r="K223" s="62">
        <v>313.74910397000002</v>
      </c>
      <c r="L223" s="49">
        <v>1026.6754489640239</v>
      </c>
      <c r="M223" s="49">
        <v>1467.8287905035559</v>
      </c>
      <c r="N223" s="49">
        <v>1953.750858627144</v>
      </c>
      <c r="O223" s="61">
        <v>27.384032573394919</v>
      </c>
      <c r="P223" s="60"/>
      <c r="Q223" s="14" t="s">
        <v>161</v>
      </c>
      <c r="R223" s="9">
        <v>6.9272500750000008</v>
      </c>
      <c r="S223" s="55" t="s">
        <v>45</v>
      </c>
      <c r="T223" s="9">
        <v>5.0626111611111115</v>
      </c>
      <c r="U223" s="55" t="s">
        <v>45</v>
      </c>
      <c r="V223" s="9">
        <v>8.89</v>
      </c>
      <c r="W223" s="242" t="s">
        <v>778</v>
      </c>
      <c r="X223" s="9">
        <v>22.338100270000002</v>
      </c>
      <c r="Y223" s="64" t="s">
        <v>52</v>
      </c>
      <c r="Z223" s="9">
        <v>16.246696616071432</v>
      </c>
      <c r="AA223" s="55" t="s">
        <v>45</v>
      </c>
      <c r="AB223" s="15" t="s">
        <v>52</v>
      </c>
      <c r="AC223" s="9">
        <v>6.8219055023408242</v>
      </c>
      <c r="AD223" s="58" t="s">
        <v>45</v>
      </c>
      <c r="AE223" s="242" t="s">
        <v>778</v>
      </c>
      <c r="AF223" s="9">
        <v>6.1781505229483287</v>
      </c>
      <c r="AG223" s="14" t="s">
        <v>161</v>
      </c>
      <c r="AH223" s="15" t="s">
        <v>52</v>
      </c>
      <c r="AI223" s="9">
        <v>6.1699809320118426</v>
      </c>
      <c r="AJ223" s="14" t="s">
        <v>161</v>
      </c>
      <c r="AK223" s="242" t="s">
        <v>778</v>
      </c>
      <c r="AL223" s="9">
        <v>5.7150734239382253</v>
      </c>
      <c r="AM223" s="55" t="s">
        <v>45</v>
      </c>
      <c r="AN223" s="15" t="s">
        <v>1535</v>
      </c>
      <c r="AO223" s="9">
        <v>3.9910290246376818</v>
      </c>
      <c r="AP223" s="60"/>
      <c r="AQ223" s="14" t="s">
        <v>161</v>
      </c>
      <c r="AR223" s="9">
        <v>7.1643400780000013</v>
      </c>
      <c r="AS223" s="14" t="s">
        <v>161</v>
      </c>
      <c r="AT223" s="9">
        <v>2.3881133593333339</v>
      </c>
      <c r="AU223" s="58" t="s">
        <v>45</v>
      </c>
      <c r="AV223" s="9">
        <v>3.5</v>
      </c>
      <c r="AW223" s="15" t="s">
        <v>52</v>
      </c>
      <c r="AX223" s="9">
        <v>51.085263133750004</v>
      </c>
      <c r="AY223" s="64" t="s">
        <v>52</v>
      </c>
      <c r="AZ223" s="9">
        <v>0.72978947333928579</v>
      </c>
      <c r="BA223" s="58" t="s">
        <v>45</v>
      </c>
      <c r="BB223" s="64" t="s">
        <v>52</v>
      </c>
      <c r="BC223" s="9">
        <v>4.3765220725595242</v>
      </c>
      <c r="BD223" s="65" t="s">
        <v>161</v>
      </c>
      <c r="BE223" s="64" t="s">
        <v>52</v>
      </c>
      <c r="BF223" s="9">
        <v>3.7408119641782411</v>
      </c>
      <c r="BG223" s="58" t="s">
        <v>45</v>
      </c>
      <c r="BH223" s="57" t="s">
        <v>778</v>
      </c>
      <c r="BI223" s="9">
        <v>3.6384279025811965</v>
      </c>
      <c r="BJ223" s="14" t="s">
        <v>161</v>
      </c>
      <c r="BK223" s="242" t="s">
        <v>778</v>
      </c>
      <c r="BL223" s="9">
        <v>3.3127244818479533</v>
      </c>
      <c r="BM223" s="14" t="s">
        <v>161</v>
      </c>
      <c r="BN223" s="64" t="s">
        <v>1535</v>
      </c>
      <c r="BO223" s="9">
        <v>2.456574447928241</v>
      </c>
    </row>
    <row r="224" spans="1:67" x14ac:dyDescent="0.45">
      <c r="A224" s="10">
        <v>203</v>
      </c>
      <c r="B224" s="10" t="s">
        <v>1100</v>
      </c>
      <c r="C224" s="64" t="s">
        <v>2148</v>
      </c>
      <c r="D224" s="65"/>
      <c r="E224" s="289" t="s">
        <v>2226</v>
      </c>
      <c r="F224" s="77" t="s">
        <v>2296</v>
      </c>
      <c r="G224" s="242"/>
      <c r="H224" s="10"/>
      <c r="I224" s="62">
        <v>155.68910197000002</v>
      </c>
      <c r="J224" s="62">
        <v>116.96440148000001</v>
      </c>
      <c r="K224" s="62">
        <v>147.78610187000001</v>
      </c>
      <c r="L224" s="49">
        <v>2046.9246782470323</v>
      </c>
      <c r="M224" s="49">
        <v>1934.7744351263948</v>
      </c>
      <c r="N224" s="49">
        <v>1849.4948352563297</v>
      </c>
      <c r="O224" s="61">
        <v>15.475616706658645</v>
      </c>
      <c r="P224" s="60"/>
      <c r="Q224" s="57" t="s">
        <v>101</v>
      </c>
      <c r="R224" s="9">
        <v>19.682692236400001</v>
      </c>
      <c r="S224" s="57" t="s">
        <v>101</v>
      </c>
      <c r="T224" s="9">
        <v>12.301682647750001</v>
      </c>
      <c r="U224" s="15" t="s">
        <v>127</v>
      </c>
      <c r="V224" s="9">
        <v>10</v>
      </c>
      <c r="W224" s="242" t="s">
        <v>82</v>
      </c>
      <c r="X224" s="9">
        <v>85.072115063800013</v>
      </c>
      <c r="Y224" s="242" t="s">
        <v>82</v>
      </c>
      <c r="Z224" s="9">
        <v>30.382898237071434</v>
      </c>
      <c r="AA224" s="57" t="s">
        <v>101</v>
      </c>
      <c r="AB224" s="57" t="s">
        <v>82</v>
      </c>
      <c r="AC224" s="9">
        <v>18.526363424401641</v>
      </c>
      <c r="AD224" s="64" t="s">
        <v>127</v>
      </c>
      <c r="AE224" s="242" t="s">
        <v>82</v>
      </c>
      <c r="AF224" s="9">
        <v>18.176775083948723</v>
      </c>
      <c r="AG224" s="57" t="s">
        <v>101</v>
      </c>
      <c r="AH224" s="51" t="s">
        <v>182</v>
      </c>
      <c r="AI224" s="9">
        <v>16.453355094808511</v>
      </c>
      <c r="AJ224" s="15" t="s">
        <v>127</v>
      </c>
      <c r="AK224" s="290" t="s">
        <v>182</v>
      </c>
      <c r="AL224" s="9">
        <v>15.997649517200001</v>
      </c>
      <c r="AM224" s="57" t="s">
        <v>101</v>
      </c>
      <c r="AN224" s="57" t="s">
        <v>778</v>
      </c>
      <c r="AO224" s="9">
        <v>15.460972793764707</v>
      </c>
      <c r="AP224" s="60"/>
      <c r="AQ224" s="57" t="s">
        <v>101</v>
      </c>
      <c r="AR224" s="9">
        <v>20.429999925856002</v>
      </c>
      <c r="AS224" s="57" t="s">
        <v>101</v>
      </c>
      <c r="AT224" s="9">
        <v>5.1074999814640005</v>
      </c>
      <c r="AU224" s="242" t="s">
        <v>101</v>
      </c>
      <c r="AV224" s="9">
        <v>3</v>
      </c>
      <c r="AW224" s="57" t="s">
        <v>82</v>
      </c>
      <c r="AX224" s="9">
        <v>110.29374958294002</v>
      </c>
      <c r="AY224" s="242" t="s">
        <v>82</v>
      </c>
      <c r="AZ224" s="9">
        <v>2.0053409015080006</v>
      </c>
      <c r="BA224" s="242" t="s">
        <v>101</v>
      </c>
      <c r="BB224" s="242" t="s">
        <v>82</v>
      </c>
      <c r="BC224" s="9">
        <v>10.548168064298968</v>
      </c>
      <c r="BD224" s="242" t="s">
        <v>101</v>
      </c>
      <c r="BE224" s="290" t="s">
        <v>182</v>
      </c>
      <c r="BF224" s="9">
        <v>9.6059805678943118</v>
      </c>
      <c r="BG224" s="242" t="s">
        <v>101</v>
      </c>
      <c r="BH224" s="57" t="s">
        <v>778</v>
      </c>
      <c r="BI224" s="9">
        <v>8.6637930714896569</v>
      </c>
      <c r="BJ224" s="15" t="s">
        <v>127</v>
      </c>
      <c r="BK224" s="242" t="s">
        <v>82</v>
      </c>
      <c r="BL224" s="9">
        <v>8.3501644456363184</v>
      </c>
      <c r="BM224" s="15" t="s">
        <v>127</v>
      </c>
      <c r="BN224" s="290" t="s">
        <v>182</v>
      </c>
      <c r="BO224" s="9">
        <v>7.7110197112331598</v>
      </c>
    </row>
    <row r="225" spans="1:67" x14ac:dyDescent="0.45">
      <c r="A225" s="10">
        <v>204</v>
      </c>
      <c r="B225" s="10" t="s">
        <v>1098</v>
      </c>
      <c r="C225" s="289" t="s">
        <v>1887</v>
      </c>
      <c r="D225" s="65"/>
      <c r="E225" s="287" t="s">
        <v>2203</v>
      </c>
      <c r="F225" s="58" t="s">
        <v>2204</v>
      </c>
      <c r="G225" s="242"/>
      <c r="H225" s="10"/>
      <c r="I225" s="62">
        <v>97.20690123</v>
      </c>
      <c r="J225" s="62">
        <v>108.27110137000001</v>
      </c>
      <c r="K225" s="62">
        <v>120.12560152</v>
      </c>
      <c r="L225" s="49">
        <v>1108.5905287100386</v>
      </c>
      <c r="M225" s="49">
        <v>1169.2215714298115</v>
      </c>
      <c r="N225" s="49">
        <v>1220.1053839198</v>
      </c>
      <c r="O225" s="61">
        <v>11.735514138396727</v>
      </c>
      <c r="P225" s="60"/>
      <c r="Q225" s="69" t="s">
        <v>38</v>
      </c>
      <c r="R225" s="9">
        <v>3.9162070368999999</v>
      </c>
      <c r="S225" s="69" t="s">
        <v>38</v>
      </c>
      <c r="T225" s="9">
        <v>7.8324140737999999</v>
      </c>
      <c r="U225" s="69" t="s">
        <v>38</v>
      </c>
      <c r="V225" s="9">
        <v>12</v>
      </c>
      <c r="W225" s="59" t="s">
        <v>194</v>
      </c>
      <c r="X225" s="9">
        <v>39.882760492000003</v>
      </c>
      <c r="Y225" s="59" t="s">
        <v>194</v>
      </c>
      <c r="Z225" s="9">
        <v>12.085684997575759</v>
      </c>
      <c r="AA225" s="69" t="s">
        <v>38</v>
      </c>
      <c r="AB225" s="53" t="s">
        <v>194</v>
      </c>
      <c r="AC225" s="9">
        <v>9.7122079195758939</v>
      </c>
      <c r="AD225" s="289" t="s">
        <v>38</v>
      </c>
      <c r="AE225" s="56" t="s">
        <v>1488</v>
      </c>
      <c r="AF225" s="9">
        <v>9.1842724983710387</v>
      </c>
      <c r="AG225" s="15" t="s">
        <v>127</v>
      </c>
      <c r="AH225" s="53" t="s">
        <v>194</v>
      </c>
      <c r="AI225" s="9">
        <v>8.9378898553614459</v>
      </c>
      <c r="AJ225" s="15" t="s">
        <v>127</v>
      </c>
      <c r="AK225" s="56" t="s">
        <v>1488</v>
      </c>
      <c r="AL225" s="9">
        <v>8.4541635046341472</v>
      </c>
      <c r="AM225" s="69" t="s">
        <v>38</v>
      </c>
      <c r="AN225" s="71" t="s">
        <v>1492</v>
      </c>
      <c r="AO225" s="9">
        <v>7.6601472978032774</v>
      </c>
      <c r="AP225" s="60"/>
      <c r="AQ225" s="69" t="s">
        <v>38</v>
      </c>
      <c r="AR225" s="9">
        <v>3.2746414887820001</v>
      </c>
      <c r="AS225" s="69" t="s">
        <v>38</v>
      </c>
      <c r="AT225" s="9">
        <v>3.2746414887820001</v>
      </c>
      <c r="AU225" s="289" t="s">
        <v>38</v>
      </c>
      <c r="AV225" s="9">
        <v>3</v>
      </c>
      <c r="AW225" s="53" t="s">
        <v>194</v>
      </c>
      <c r="AX225" s="9">
        <v>51.547588639600001</v>
      </c>
      <c r="AY225" s="59" t="s">
        <v>194</v>
      </c>
      <c r="AZ225" s="9">
        <v>0.85912647732666669</v>
      </c>
      <c r="BA225" s="289" t="s">
        <v>38</v>
      </c>
      <c r="BB225" s="59" t="s">
        <v>194</v>
      </c>
      <c r="BC225" s="9">
        <v>5.5733532578685709</v>
      </c>
      <c r="BD225" s="289" t="s">
        <v>38</v>
      </c>
      <c r="BE225" s="56" t="s">
        <v>1488</v>
      </c>
      <c r="BF225" s="9">
        <v>5.2724747540614283</v>
      </c>
      <c r="BG225" s="64" t="s">
        <v>127</v>
      </c>
      <c r="BH225" s="53" t="s">
        <v>194</v>
      </c>
      <c r="BI225" s="9">
        <v>4.4649556728758064</v>
      </c>
      <c r="BJ225" s="15" t="s">
        <v>127</v>
      </c>
      <c r="BK225" s="56" t="s">
        <v>1488</v>
      </c>
      <c r="BL225" s="9">
        <v>4.2611347509419355</v>
      </c>
      <c r="BM225" s="69" t="s">
        <v>38</v>
      </c>
      <c r="BN225" s="80" t="s">
        <v>1492</v>
      </c>
      <c r="BO225" s="9">
        <v>4.2180005558350002</v>
      </c>
    </row>
    <row r="226" spans="1:67" x14ac:dyDescent="0.45">
      <c r="A226" s="10">
        <v>205</v>
      </c>
      <c r="B226" s="10" t="s">
        <v>39</v>
      </c>
      <c r="C226" s="289" t="s">
        <v>2149</v>
      </c>
      <c r="D226" s="75" t="s">
        <v>1976</v>
      </c>
      <c r="E226" s="58"/>
      <c r="F226" s="64" t="s">
        <v>2297</v>
      </c>
      <c r="G226" s="63" t="s">
        <v>2106</v>
      </c>
      <c r="H226" s="10"/>
      <c r="I226" s="62">
        <v>139.09280176000001</v>
      </c>
      <c r="J226" s="62">
        <v>173.86600220000003</v>
      </c>
      <c r="K226" s="62">
        <v>154.89880196000001</v>
      </c>
      <c r="L226" s="49">
        <v>2282.6326174011783</v>
      </c>
      <c r="M226" s="49">
        <v>2412.0052839034247</v>
      </c>
      <c r="N226" s="49">
        <v>2520.7631633369874</v>
      </c>
      <c r="O226" s="61">
        <v>22.942682888746099</v>
      </c>
      <c r="P226" s="60"/>
      <c r="Q226" s="69" t="s">
        <v>1523</v>
      </c>
      <c r="R226" s="9">
        <v>13.518352158400001</v>
      </c>
      <c r="S226" s="69" t="s">
        <v>38</v>
      </c>
      <c r="T226" s="9">
        <v>10.3455681056</v>
      </c>
      <c r="U226" s="69" t="s">
        <v>38</v>
      </c>
      <c r="V226" s="9">
        <v>12</v>
      </c>
      <c r="W226" s="80" t="s">
        <v>79</v>
      </c>
      <c r="X226" s="9">
        <v>98.364961232000013</v>
      </c>
      <c r="Y226" s="59" t="s">
        <v>0</v>
      </c>
      <c r="Z226" s="9">
        <v>28.294750828190477</v>
      </c>
      <c r="AA226" s="69" t="s">
        <v>38</v>
      </c>
      <c r="AB226" s="53" t="s">
        <v>0</v>
      </c>
      <c r="AC226" s="9">
        <v>16.36045380519149</v>
      </c>
      <c r="AD226" s="289" t="s">
        <v>38</v>
      </c>
      <c r="AE226" s="80" t="s">
        <v>79</v>
      </c>
      <c r="AF226" s="9">
        <v>15.396883481785125</v>
      </c>
      <c r="AG226" s="69" t="s">
        <v>1523</v>
      </c>
      <c r="AH226" s="53" t="s">
        <v>0</v>
      </c>
      <c r="AI226" s="9">
        <v>14.715514169089204</v>
      </c>
      <c r="AJ226" s="69" t="s">
        <v>38</v>
      </c>
      <c r="AK226" s="59" t="s">
        <v>1780</v>
      </c>
      <c r="AL226" s="9">
        <v>13.802355523433476</v>
      </c>
      <c r="AM226" s="69" t="s">
        <v>1523</v>
      </c>
      <c r="AN226" s="71" t="s">
        <v>79</v>
      </c>
      <c r="AO226" s="9">
        <v>13.68747704544681</v>
      </c>
      <c r="AP226" s="60"/>
      <c r="AQ226" s="69" t="s">
        <v>1523</v>
      </c>
      <c r="AR226" s="9">
        <v>10.764314683552001</v>
      </c>
      <c r="AS226" s="69" t="s">
        <v>38</v>
      </c>
      <c r="AT226" s="9">
        <v>4.2547715611840005</v>
      </c>
      <c r="AU226" s="289" t="s">
        <v>38</v>
      </c>
      <c r="AV226" s="9">
        <v>3</v>
      </c>
      <c r="AW226" s="71" t="s">
        <v>79</v>
      </c>
      <c r="AX226" s="9">
        <v>109.49238537280002</v>
      </c>
      <c r="AY226" s="80" t="s">
        <v>79</v>
      </c>
      <c r="AZ226" s="9">
        <v>1.6844982365046157</v>
      </c>
      <c r="BA226" s="289" t="s">
        <v>38</v>
      </c>
      <c r="BB226" s="80" t="s">
        <v>79</v>
      </c>
      <c r="BC226" s="9">
        <v>8.8976074646376482</v>
      </c>
      <c r="BD226" s="289" t="s">
        <v>38</v>
      </c>
      <c r="BE226" s="59" t="s">
        <v>0</v>
      </c>
      <c r="BF226" s="9">
        <v>8.3692941007939634</v>
      </c>
      <c r="BG226" s="289" t="s">
        <v>1523</v>
      </c>
      <c r="BH226" s="71" t="s">
        <v>79</v>
      </c>
      <c r="BI226" s="9">
        <v>7.7616725980949761</v>
      </c>
      <c r="BJ226" s="69" t="s">
        <v>1523</v>
      </c>
      <c r="BK226" s="59" t="s">
        <v>0</v>
      </c>
      <c r="BL226" s="9">
        <v>7.3023613434511407</v>
      </c>
      <c r="BM226" s="69" t="s">
        <v>38</v>
      </c>
      <c r="BN226" s="56" t="s">
        <v>1488</v>
      </c>
      <c r="BO226" s="9">
        <v>7.1134598106895242</v>
      </c>
    </row>
    <row r="227" spans="1:67" x14ac:dyDescent="0.45">
      <c r="A227" s="10">
        <v>206</v>
      </c>
      <c r="B227" s="10" t="s">
        <v>1096</v>
      </c>
      <c r="C227" s="64" t="s">
        <v>1889</v>
      </c>
      <c r="D227" s="65"/>
      <c r="E227" s="58" t="s">
        <v>1903</v>
      </c>
      <c r="F227" s="77"/>
      <c r="G227" s="77" t="s">
        <v>1888</v>
      </c>
      <c r="H227" s="10"/>
      <c r="I227" s="62">
        <v>115.38380146</v>
      </c>
      <c r="J227" s="62">
        <v>113.01290143000001</v>
      </c>
      <c r="K227" s="62">
        <v>189.67200240000003</v>
      </c>
      <c r="L227" s="49">
        <v>1689.3143461894408</v>
      </c>
      <c r="M227" s="49">
        <v>1828.8751748627976</v>
      </c>
      <c r="N227" s="49">
        <v>1948.7805682606347</v>
      </c>
      <c r="O227" s="61">
        <v>19.258881261593402</v>
      </c>
      <c r="P227" s="60"/>
      <c r="Q227" s="68" t="s">
        <v>277</v>
      </c>
      <c r="R227" s="9">
        <v>5.6153520584000001</v>
      </c>
      <c r="S227" s="67" t="s">
        <v>66</v>
      </c>
      <c r="T227" s="9">
        <v>8.9230280876000005</v>
      </c>
      <c r="U227" s="68" t="s">
        <v>277</v>
      </c>
      <c r="V227" s="9">
        <v>12.727</v>
      </c>
      <c r="W227" s="80" t="s">
        <v>1490</v>
      </c>
      <c r="X227" s="9">
        <v>58.69190073</v>
      </c>
      <c r="Y227" s="56" t="s">
        <v>40</v>
      </c>
      <c r="Z227" s="9">
        <v>17.46426688296296</v>
      </c>
      <c r="AA227" s="67" t="s">
        <v>66</v>
      </c>
      <c r="AB227" s="52" t="s">
        <v>40</v>
      </c>
      <c r="AC227" s="9">
        <v>11.499714651564247</v>
      </c>
      <c r="AD227" s="76" t="s">
        <v>66</v>
      </c>
      <c r="AE227" s="80" t="s">
        <v>1487</v>
      </c>
      <c r="AF227" s="9">
        <v>11.372645981381215</v>
      </c>
      <c r="AG227" s="67" t="s">
        <v>66</v>
      </c>
      <c r="AH227" s="71" t="s">
        <v>1490</v>
      </c>
      <c r="AI227" s="9">
        <v>10.453043495662101</v>
      </c>
      <c r="AJ227" s="68" t="s">
        <v>277</v>
      </c>
      <c r="AK227" s="56" t="s">
        <v>40</v>
      </c>
      <c r="AL227" s="9">
        <v>10.139190636810344</v>
      </c>
      <c r="AM227" s="68" t="s">
        <v>277</v>
      </c>
      <c r="AN227" s="71" t="s">
        <v>1487</v>
      </c>
      <c r="AO227" s="9">
        <v>9.9885020286199566</v>
      </c>
      <c r="AP227" s="60"/>
      <c r="AQ227" s="68" t="s">
        <v>277</v>
      </c>
      <c r="AR227" s="9">
        <v>4.7499735474499998</v>
      </c>
      <c r="AS227" s="67" t="s">
        <v>66</v>
      </c>
      <c r="AT227" s="9">
        <v>3.9999788379600001</v>
      </c>
      <c r="AU227" s="77" t="s">
        <v>277</v>
      </c>
      <c r="AV227" s="9">
        <v>3</v>
      </c>
      <c r="AW227" s="71" t="s">
        <v>1490</v>
      </c>
      <c r="AX227" s="9">
        <v>75.999470948999999</v>
      </c>
      <c r="AY227" s="56" t="s">
        <v>40</v>
      </c>
      <c r="AZ227" s="9">
        <v>1.3555461502044446</v>
      </c>
      <c r="BA227" s="76" t="s">
        <v>66</v>
      </c>
      <c r="BB227" s="56" t="s">
        <v>40</v>
      </c>
      <c r="BC227" s="9">
        <v>6.4254936431191494</v>
      </c>
      <c r="BD227" s="76" t="s">
        <v>66</v>
      </c>
      <c r="BE227" s="80" t="s">
        <v>1487</v>
      </c>
      <c r="BF227" s="9">
        <v>5.9999647299333336</v>
      </c>
      <c r="BG227" s="76" t="s">
        <v>66</v>
      </c>
      <c r="BH227" s="71" t="s">
        <v>1490</v>
      </c>
      <c r="BI227" s="9">
        <v>5.7560640113999995</v>
      </c>
      <c r="BJ227" s="68" t="s">
        <v>277</v>
      </c>
      <c r="BK227" s="56" t="s">
        <v>40</v>
      </c>
      <c r="BL227" s="9">
        <v>5.2968402810281248</v>
      </c>
      <c r="BM227" s="68" t="s">
        <v>277</v>
      </c>
      <c r="BN227" s="80" t="s">
        <v>1487</v>
      </c>
      <c r="BO227" s="9">
        <v>4.6565789421985633</v>
      </c>
    </row>
    <row r="228" spans="1:67" x14ac:dyDescent="0.45">
      <c r="A228" s="10">
        <v>207</v>
      </c>
      <c r="B228" s="10" t="s">
        <v>1094</v>
      </c>
      <c r="C228" s="80" t="s">
        <v>2150</v>
      </c>
      <c r="D228" s="291" t="s">
        <v>1919</v>
      </c>
      <c r="E228" s="288" t="s">
        <v>1993</v>
      </c>
      <c r="F228" s="58" t="s">
        <v>2298</v>
      </c>
      <c r="G228" s="80" t="s">
        <v>1892</v>
      </c>
      <c r="H228" s="10"/>
      <c r="I228" s="62">
        <v>124.86740158000001</v>
      </c>
      <c r="J228" s="62">
        <v>157.26970199000002</v>
      </c>
      <c r="K228" s="62">
        <v>140.67340178000001</v>
      </c>
      <c r="L228" s="49">
        <v>1857.2809369792878</v>
      </c>
      <c r="M228" s="49">
        <v>1968.8112636470782</v>
      </c>
      <c r="N228" s="49">
        <v>2062.8387104918238</v>
      </c>
      <c r="O228" s="61">
        <v>19.117120181939498</v>
      </c>
      <c r="P228" s="60"/>
      <c r="Q228" s="16" t="s">
        <v>1505</v>
      </c>
      <c r="R228" s="9">
        <v>6.99363527584</v>
      </c>
      <c r="S228" s="16" t="s">
        <v>1505</v>
      </c>
      <c r="T228" s="9">
        <v>8.7420440947999989</v>
      </c>
      <c r="U228" s="69" t="s">
        <v>27</v>
      </c>
      <c r="V228" s="9">
        <v>15</v>
      </c>
      <c r="W228" s="80" t="s">
        <v>1490</v>
      </c>
      <c r="X228" s="9">
        <v>75.920440948000007</v>
      </c>
      <c r="Y228" s="287" t="s">
        <v>203</v>
      </c>
      <c r="Z228" s="9">
        <v>17.585934383916669</v>
      </c>
      <c r="AA228" s="16" t="s">
        <v>1505</v>
      </c>
      <c r="AB228" s="16" t="s">
        <v>203</v>
      </c>
      <c r="AC228" s="9">
        <v>12.699807152360499</v>
      </c>
      <c r="AD228" s="289" t="s">
        <v>27</v>
      </c>
      <c r="AE228" s="287" t="s">
        <v>203</v>
      </c>
      <c r="AF228" s="9">
        <v>12.584296487442307</v>
      </c>
      <c r="AG228" s="16" t="s">
        <v>1505</v>
      </c>
      <c r="AH228" s="71" t="s">
        <v>1490</v>
      </c>
      <c r="AI228" s="9">
        <v>12.551223965054678</v>
      </c>
      <c r="AJ228" s="69" t="s">
        <v>27</v>
      </c>
      <c r="AK228" s="80" t="s">
        <v>1490</v>
      </c>
      <c r="AL228" s="9">
        <v>12.430979188236517</v>
      </c>
      <c r="AM228" s="16" t="s">
        <v>1505</v>
      </c>
      <c r="AN228" s="67" t="s">
        <v>1491</v>
      </c>
      <c r="AO228" s="9">
        <v>11.256947548414633</v>
      </c>
      <c r="AP228" s="60"/>
      <c r="AQ228" s="16" t="s">
        <v>1505</v>
      </c>
      <c r="AR228" s="9">
        <v>5.8698286616200006</v>
      </c>
      <c r="AS228" s="16" t="s">
        <v>1505</v>
      </c>
      <c r="AT228" s="9">
        <v>2.9349143308100003</v>
      </c>
      <c r="AU228" s="289" t="s">
        <v>27</v>
      </c>
      <c r="AV228" s="9">
        <v>4</v>
      </c>
      <c r="AW228" s="71" t="s">
        <v>1490</v>
      </c>
      <c r="AX228" s="9">
        <v>98.396573232400002</v>
      </c>
      <c r="AY228" s="80" t="s">
        <v>1490</v>
      </c>
      <c r="AZ228" s="9">
        <v>1.2299571654050001</v>
      </c>
      <c r="BA228" s="289" t="s">
        <v>27</v>
      </c>
      <c r="BB228" s="80" t="s">
        <v>1490</v>
      </c>
      <c r="BC228" s="9">
        <v>7.1839094115809523</v>
      </c>
      <c r="BD228" s="287" t="s">
        <v>1505</v>
      </c>
      <c r="BE228" s="80" t="s">
        <v>1490</v>
      </c>
      <c r="BF228" s="9">
        <v>6.9363012308766478</v>
      </c>
      <c r="BG228" s="289" t="s">
        <v>27</v>
      </c>
      <c r="BH228" s="16" t="s">
        <v>203</v>
      </c>
      <c r="BI228" s="9">
        <v>6.8636712456240829</v>
      </c>
      <c r="BJ228" s="16" t="s">
        <v>1505</v>
      </c>
      <c r="BK228" s="287" t="s">
        <v>203</v>
      </c>
      <c r="BL228" s="9">
        <v>6.6610216156457733</v>
      </c>
      <c r="BM228" s="69" t="s">
        <v>27</v>
      </c>
      <c r="BN228" s="76" t="s">
        <v>1491</v>
      </c>
      <c r="BO228" s="9">
        <v>6.6190330711000005</v>
      </c>
    </row>
    <row r="229" spans="1:67" x14ac:dyDescent="0.45">
      <c r="A229" s="10">
        <v>208</v>
      </c>
      <c r="B229" s="10" t="s">
        <v>2</v>
      </c>
      <c r="C229" s="80" t="s">
        <v>2119</v>
      </c>
      <c r="D229" s="65"/>
      <c r="E229" s="58" t="s">
        <v>2232</v>
      </c>
      <c r="F229" s="64" t="s">
        <v>2233</v>
      </c>
      <c r="G229" s="56" t="s">
        <v>2123</v>
      </c>
      <c r="H229" s="63" t="s">
        <v>1971</v>
      </c>
      <c r="I229" s="62">
        <v>128.81890163</v>
      </c>
      <c r="J229" s="62">
        <v>226.81610287000001</v>
      </c>
      <c r="K229" s="62">
        <v>154.89880196000001</v>
      </c>
      <c r="L229" s="49">
        <v>2414.5742416045632</v>
      </c>
      <c r="M229" s="49">
        <v>2736.1150600453061</v>
      </c>
      <c r="N229" s="49">
        <v>3023.913689575942</v>
      </c>
      <c r="O229" s="61">
        <v>28.637986180331431</v>
      </c>
      <c r="P229" s="60"/>
      <c r="Q229" s="53" t="s">
        <v>1</v>
      </c>
      <c r="R229" s="9">
        <v>12.593701146699999</v>
      </c>
      <c r="S229" s="53" t="s">
        <v>1</v>
      </c>
      <c r="T229" s="9">
        <v>11.448819224272725</v>
      </c>
      <c r="U229" s="51" t="s">
        <v>196</v>
      </c>
      <c r="V229" s="9">
        <v>13.333</v>
      </c>
      <c r="W229" s="80" t="s">
        <v>79</v>
      </c>
      <c r="X229" s="9">
        <v>109.20787736919999</v>
      </c>
      <c r="Y229" s="80" t="s">
        <v>79</v>
      </c>
      <c r="Z229" s="9">
        <v>30.335521491444442</v>
      </c>
      <c r="AA229" s="53" t="s">
        <v>1</v>
      </c>
      <c r="AB229" s="71" t="s">
        <v>79</v>
      </c>
      <c r="AC229" s="9">
        <v>14.831512167646762</v>
      </c>
      <c r="AD229" s="59" t="s">
        <v>1</v>
      </c>
      <c r="AE229" s="59" t="s">
        <v>0</v>
      </c>
      <c r="AF229" s="9">
        <v>14.568330389199424</v>
      </c>
      <c r="AG229" s="51" t="s">
        <v>196</v>
      </c>
      <c r="AH229" s="71" t="s">
        <v>79</v>
      </c>
      <c r="AI229" s="9">
        <v>14.192651337816665</v>
      </c>
      <c r="AJ229" s="66" t="s">
        <v>88</v>
      </c>
      <c r="AK229" s="80" t="s">
        <v>79</v>
      </c>
      <c r="AL229" s="9">
        <v>14.115767192630951</v>
      </c>
      <c r="AM229" s="51" t="s">
        <v>196</v>
      </c>
      <c r="AN229" s="53" t="s">
        <v>0</v>
      </c>
      <c r="AO229" s="9">
        <v>14.082475682089742</v>
      </c>
      <c r="AP229" s="60"/>
      <c r="AQ229" s="53" t="s">
        <v>1</v>
      </c>
      <c r="AR229" s="9">
        <v>10.043086894426001</v>
      </c>
      <c r="AS229" s="51" t="s">
        <v>196</v>
      </c>
      <c r="AT229" s="9">
        <v>3.8492914423800002</v>
      </c>
      <c r="AU229" s="78" t="s">
        <v>88</v>
      </c>
      <c r="AV229" s="9">
        <v>3.3333333333333002</v>
      </c>
      <c r="AW229" s="71" t="s">
        <v>79</v>
      </c>
      <c r="AX229" s="9">
        <v>121.57449192568001</v>
      </c>
      <c r="AY229" s="80" t="s">
        <v>79</v>
      </c>
      <c r="AZ229" s="9">
        <v>1.8703767988566156</v>
      </c>
      <c r="BA229" s="78" t="s">
        <v>88</v>
      </c>
      <c r="BB229" s="80" t="s">
        <v>79</v>
      </c>
      <c r="BC229" s="9">
        <v>8.636969720511587</v>
      </c>
      <c r="BD229" s="290" t="s">
        <v>196</v>
      </c>
      <c r="BE229" s="80" t="s">
        <v>79</v>
      </c>
      <c r="BF229" s="9">
        <v>8.2094840528725932</v>
      </c>
      <c r="BG229" s="78" t="s">
        <v>88</v>
      </c>
      <c r="BH229" s="53" t="s">
        <v>0</v>
      </c>
      <c r="BI229" s="9">
        <v>7.1259155635471876</v>
      </c>
      <c r="BJ229" s="51" t="s">
        <v>196</v>
      </c>
      <c r="BK229" s="59" t="s">
        <v>0</v>
      </c>
      <c r="BL229" s="9">
        <v>7.0629023398847615</v>
      </c>
      <c r="BM229" s="53" t="s">
        <v>1</v>
      </c>
      <c r="BN229" s="80" t="s">
        <v>79</v>
      </c>
      <c r="BO229" s="9">
        <v>6.8768537298098016</v>
      </c>
    </row>
    <row r="230" spans="1:67" x14ac:dyDescent="0.45">
      <c r="A230" s="10">
        <v>209</v>
      </c>
      <c r="B230" s="10" t="s">
        <v>1090</v>
      </c>
      <c r="C230" s="65" t="s">
        <v>1894</v>
      </c>
      <c r="D230" s="65"/>
      <c r="E230" s="63" t="s">
        <v>2221</v>
      </c>
      <c r="F230" s="58" t="s">
        <v>2222</v>
      </c>
      <c r="G230" s="78" t="s">
        <v>1893</v>
      </c>
      <c r="H230" s="10"/>
      <c r="I230" s="62">
        <v>120.12560152</v>
      </c>
      <c r="J230" s="62">
        <v>79.030000999999999</v>
      </c>
      <c r="K230" s="62">
        <v>134.35100170000001</v>
      </c>
      <c r="L230" s="49">
        <v>1237.8044038905218</v>
      </c>
      <c r="M230" s="49">
        <v>1176.103785287642</v>
      </c>
      <c r="N230" s="49">
        <v>1128.9651792302002</v>
      </c>
      <c r="O230" s="61">
        <v>9.8400969285950399</v>
      </c>
      <c r="P230" s="60"/>
      <c r="Q230" s="67" t="s">
        <v>66</v>
      </c>
      <c r="R230" s="9">
        <v>4.6037680455999999</v>
      </c>
      <c r="S230" s="67" t="s">
        <v>66</v>
      </c>
      <c r="T230" s="9">
        <v>9.2075360911999997</v>
      </c>
      <c r="U230" s="15" t="s">
        <v>127</v>
      </c>
      <c r="V230" s="9">
        <v>10</v>
      </c>
      <c r="W230" s="65" t="s">
        <v>63</v>
      </c>
      <c r="X230" s="9">
        <v>73.075360911999994</v>
      </c>
      <c r="Y230" s="65" t="s">
        <v>63</v>
      </c>
      <c r="Z230" s="9">
        <v>20.878674546285712</v>
      </c>
      <c r="AA230" s="67" t="s">
        <v>66</v>
      </c>
      <c r="AB230" s="14" t="s">
        <v>63</v>
      </c>
      <c r="AC230" s="9">
        <v>13.397175536615386</v>
      </c>
      <c r="AD230" s="64" t="s">
        <v>127</v>
      </c>
      <c r="AE230" s="65" t="s">
        <v>63</v>
      </c>
      <c r="AF230" s="9">
        <v>13.306677799058821</v>
      </c>
      <c r="AG230" s="67" t="s">
        <v>66</v>
      </c>
      <c r="AH230" s="67" t="s">
        <v>91</v>
      </c>
      <c r="AI230" s="9">
        <v>11.050953969954751</v>
      </c>
      <c r="AJ230" s="67" t="s">
        <v>66</v>
      </c>
      <c r="AK230" s="58" t="s">
        <v>106</v>
      </c>
      <c r="AL230" s="9">
        <v>10.992460234219651</v>
      </c>
      <c r="AM230" s="15" t="s">
        <v>127</v>
      </c>
      <c r="AN230" s="67" t="s">
        <v>91</v>
      </c>
      <c r="AO230" s="9">
        <v>10.673198079387754</v>
      </c>
      <c r="AP230" s="60"/>
      <c r="AQ230" s="67" t="s">
        <v>66</v>
      </c>
      <c r="AR230" s="9">
        <v>4.1232656395200005</v>
      </c>
      <c r="AS230" s="67" t="s">
        <v>66</v>
      </c>
      <c r="AT230" s="9">
        <v>4.1232656395200005</v>
      </c>
      <c r="AU230" s="76" t="s">
        <v>2481</v>
      </c>
      <c r="AV230" s="9">
        <v>2</v>
      </c>
      <c r="AW230" s="14" t="s">
        <v>63</v>
      </c>
      <c r="AX230" s="9">
        <v>104.06776610416</v>
      </c>
      <c r="AY230" s="65" t="s">
        <v>63</v>
      </c>
      <c r="AZ230" s="9">
        <v>1.4866823729165715</v>
      </c>
      <c r="BA230" s="76" t="s">
        <v>66</v>
      </c>
      <c r="BB230" s="65" t="s">
        <v>63</v>
      </c>
      <c r="BC230" s="9">
        <v>6.8995017635377787</v>
      </c>
      <c r="BD230" s="76" t="s">
        <v>66</v>
      </c>
      <c r="BE230" s="76" t="s">
        <v>91</v>
      </c>
      <c r="BF230" s="9">
        <v>6.3161968332255327</v>
      </c>
      <c r="BG230" s="64" t="s">
        <v>127</v>
      </c>
      <c r="BH230" s="14" t="s">
        <v>63</v>
      </c>
      <c r="BI230" s="9">
        <v>6.1403746983766663</v>
      </c>
      <c r="BJ230" s="67" t="s">
        <v>66</v>
      </c>
      <c r="BK230" s="58" t="s">
        <v>106</v>
      </c>
      <c r="BL230" s="9">
        <v>5.6426921668540544</v>
      </c>
      <c r="BM230" s="15" t="s">
        <v>127</v>
      </c>
      <c r="BN230" s="76" t="s">
        <v>91</v>
      </c>
      <c r="BO230" s="9">
        <v>5.568606653553192</v>
      </c>
    </row>
    <row r="231" spans="1:67" x14ac:dyDescent="0.45">
      <c r="A231" s="10">
        <v>210</v>
      </c>
      <c r="B231" s="10" t="s">
        <v>285</v>
      </c>
      <c r="C231" s="65" t="s">
        <v>1894</v>
      </c>
      <c r="D231" s="65"/>
      <c r="E231" s="63" t="s">
        <v>2221</v>
      </c>
      <c r="F231" s="58" t="s">
        <v>2222</v>
      </c>
      <c r="G231" s="78" t="s">
        <v>1893</v>
      </c>
      <c r="H231" s="10"/>
      <c r="I231" s="62">
        <v>179.39810227000001</v>
      </c>
      <c r="J231" s="62">
        <v>115.38380146</v>
      </c>
      <c r="K231" s="62">
        <v>175.44660222000002</v>
      </c>
      <c r="L231" s="49">
        <v>2552.4823469794037</v>
      </c>
      <c r="M231" s="49">
        <v>2362.6810597488225</v>
      </c>
      <c r="N231" s="49">
        <v>2221.0533062677114</v>
      </c>
      <c r="O231" s="61">
        <v>18.149533721832572</v>
      </c>
      <c r="P231" s="60"/>
      <c r="Q231" s="14" t="s">
        <v>161</v>
      </c>
      <c r="R231" s="9">
        <v>22.5277722724</v>
      </c>
      <c r="S231" s="14" t="s">
        <v>161</v>
      </c>
      <c r="T231" s="9">
        <v>15.018514848266667</v>
      </c>
      <c r="U231" s="67" t="s">
        <v>20</v>
      </c>
      <c r="V231" s="9">
        <v>12.727</v>
      </c>
      <c r="W231" s="65" t="s">
        <v>84</v>
      </c>
      <c r="X231" s="9">
        <v>97.8749752258</v>
      </c>
      <c r="Y231" s="58" t="s">
        <v>216</v>
      </c>
      <c r="Z231" s="9">
        <v>39.434370058695656</v>
      </c>
      <c r="AA231" s="14" t="s">
        <v>161</v>
      </c>
      <c r="AB231" s="14" t="s">
        <v>84</v>
      </c>
      <c r="AC231" s="9">
        <v>20.608169701625819</v>
      </c>
      <c r="AD231" s="76" t="s">
        <v>20</v>
      </c>
      <c r="AE231" s="65" t="s">
        <v>84</v>
      </c>
      <c r="AF231" s="9">
        <v>20.48581548087029</v>
      </c>
      <c r="AG231" s="67" t="s">
        <v>66</v>
      </c>
      <c r="AH231" s="14" t="s">
        <v>84</v>
      </c>
      <c r="AI231" s="9">
        <v>19.415220063065572</v>
      </c>
      <c r="AJ231" s="14" t="s">
        <v>161</v>
      </c>
      <c r="AK231" s="58" t="s">
        <v>216</v>
      </c>
      <c r="AL231" s="9">
        <v>18.264553402254332</v>
      </c>
      <c r="AM231" s="14" t="s">
        <v>161</v>
      </c>
      <c r="AN231" s="67" t="s">
        <v>91</v>
      </c>
      <c r="AO231" s="9">
        <v>17.049394790526215</v>
      </c>
      <c r="AP231" s="60"/>
      <c r="AQ231" s="14" t="s">
        <v>161</v>
      </c>
      <c r="AR231" s="9">
        <v>23.388883163296001</v>
      </c>
      <c r="AS231" s="14" t="s">
        <v>161</v>
      </c>
      <c r="AT231" s="9">
        <v>7.7962943877653332</v>
      </c>
      <c r="AU231" s="76" t="s">
        <v>20</v>
      </c>
      <c r="AV231" s="9">
        <v>4.3333333333333002</v>
      </c>
      <c r="AW231" s="14" t="s">
        <v>84</v>
      </c>
      <c r="AX231" s="9">
        <v>126.93746779354001</v>
      </c>
      <c r="AY231" s="58" t="s">
        <v>216</v>
      </c>
      <c r="AZ231" s="9">
        <v>2.6135281439</v>
      </c>
      <c r="BA231" s="65" t="s">
        <v>161</v>
      </c>
      <c r="BB231" s="58" t="s">
        <v>216</v>
      </c>
      <c r="BC231" s="9">
        <v>12.469165540434894</v>
      </c>
      <c r="BD231" s="76" t="s">
        <v>20</v>
      </c>
      <c r="BE231" s="58" t="s">
        <v>216</v>
      </c>
      <c r="BF231" s="9">
        <v>12.407322221293073</v>
      </c>
      <c r="BG231" s="65" t="s">
        <v>161</v>
      </c>
      <c r="BH231" s="14" t="s">
        <v>84</v>
      </c>
      <c r="BI231" s="9">
        <v>11.639558046016129</v>
      </c>
      <c r="BJ231" s="14" t="s">
        <v>161</v>
      </c>
      <c r="BK231" s="76" t="s">
        <v>91</v>
      </c>
      <c r="BL231" s="9">
        <v>10.980542989683832</v>
      </c>
      <c r="BM231" s="67" t="s">
        <v>20</v>
      </c>
      <c r="BN231" s="65" t="s">
        <v>84</v>
      </c>
      <c r="BO231" s="9">
        <v>10.673644459805805</v>
      </c>
    </row>
    <row r="232" spans="1:67" x14ac:dyDescent="0.45">
      <c r="A232" s="10">
        <v>211</v>
      </c>
      <c r="B232" s="10" t="s">
        <v>1086</v>
      </c>
      <c r="C232" s="63" t="s">
        <v>2121</v>
      </c>
      <c r="D232" s="65"/>
      <c r="E232" s="80" t="s">
        <v>2240</v>
      </c>
      <c r="F232" s="58" t="s">
        <v>2241</v>
      </c>
      <c r="G232" s="242"/>
      <c r="H232" s="10"/>
      <c r="I232" s="62">
        <v>157.26970199000002</v>
      </c>
      <c r="J232" s="62">
        <v>120.91590153000001</v>
      </c>
      <c r="K232" s="62">
        <v>140.67340178000001</v>
      </c>
      <c r="L232" s="49">
        <v>2051.1280218053607</v>
      </c>
      <c r="M232" s="49">
        <v>1927.0529494756097</v>
      </c>
      <c r="N232" s="49">
        <v>1833.2190092328285</v>
      </c>
      <c r="O232" s="61">
        <v>15.174779101896224</v>
      </c>
      <c r="P232" s="60"/>
      <c r="Q232" s="54" t="s">
        <v>2404</v>
      </c>
      <c r="R232" s="9">
        <v>5.7180910596999999</v>
      </c>
      <c r="S232" s="73" t="s">
        <v>121</v>
      </c>
      <c r="T232" s="9">
        <v>11.4361821194</v>
      </c>
      <c r="U232" s="54" t="s">
        <v>92</v>
      </c>
      <c r="V232" s="9">
        <v>11.667</v>
      </c>
      <c r="W232" s="63" t="s">
        <v>167</v>
      </c>
      <c r="X232" s="9">
        <v>104.7980033134</v>
      </c>
      <c r="Y232" s="63" t="s">
        <v>167</v>
      </c>
      <c r="Z232" s="9">
        <v>32.7493760354375</v>
      </c>
      <c r="AA232" s="73" t="s">
        <v>121</v>
      </c>
      <c r="AB232" s="54" t="s">
        <v>167</v>
      </c>
      <c r="AC232" s="9">
        <v>16.603017008136366</v>
      </c>
      <c r="AD232" s="288" t="s">
        <v>121</v>
      </c>
      <c r="AE232" s="288" t="s">
        <v>306</v>
      </c>
      <c r="AF232" s="9">
        <v>16.490735858917198</v>
      </c>
      <c r="AG232" s="54" t="s">
        <v>92</v>
      </c>
      <c r="AH232" s="73" t="s">
        <v>306</v>
      </c>
      <c r="AI232" s="9">
        <v>15.851934219289289</v>
      </c>
      <c r="AJ232" s="54" t="s">
        <v>92</v>
      </c>
      <c r="AK232" s="63" t="s">
        <v>167</v>
      </c>
      <c r="AL232" s="9">
        <v>15.620440099090166</v>
      </c>
      <c r="AM232" s="73" t="s">
        <v>121</v>
      </c>
      <c r="AN232" s="74" t="s">
        <v>189</v>
      </c>
      <c r="AO232" s="9">
        <v>15.536418854518072</v>
      </c>
      <c r="AP232" s="60"/>
      <c r="AQ232" s="54" t="s">
        <v>2404</v>
      </c>
      <c r="AR232" s="9">
        <v>4.6801110265660002</v>
      </c>
      <c r="AS232" s="73" t="s">
        <v>121</v>
      </c>
      <c r="AT232" s="9">
        <v>4.6801110265660002</v>
      </c>
      <c r="AU232" s="63" t="s">
        <v>2482</v>
      </c>
      <c r="AV232" s="9">
        <v>3</v>
      </c>
      <c r="AW232" s="54" t="s">
        <v>167</v>
      </c>
      <c r="AX232" s="9">
        <v>135.93740430742002</v>
      </c>
      <c r="AY232" s="63" t="s">
        <v>167</v>
      </c>
      <c r="AZ232" s="9">
        <v>2.0913446816526156</v>
      </c>
      <c r="BA232" s="288" t="s">
        <v>121</v>
      </c>
      <c r="BB232" s="63" t="s">
        <v>167</v>
      </c>
      <c r="BC232" s="9">
        <v>10.470873965427208</v>
      </c>
      <c r="BD232" s="288" t="s">
        <v>121</v>
      </c>
      <c r="BE232" s="291" t="s">
        <v>189</v>
      </c>
      <c r="BF232" s="9">
        <v>9.2485247147168987</v>
      </c>
      <c r="BG232" s="288" t="s">
        <v>121</v>
      </c>
      <c r="BH232" s="73" t="s">
        <v>306</v>
      </c>
      <c r="BI232" s="9">
        <v>9.2318272962660526</v>
      </c>
      <c r="BJ232" s="54" t="s">
        <v>92</v>
      </c>
      <c r="BK232" s="63" t="s">
        <v>167</v>
      </c>
      <c r="BL232" s="9">
        <v>8.2340561953772795</v>
      </c>
      <c r="BM232" s="54" t="s">
        <v>92</v>
      </c>
      <c r="BN232" s="288" t="s">
        <v>306</v>
      </c>
      <c r="BO232" s="9">
        <v>7.0765130077159215</v>
      </c>
    </row>
    <row r="233" spans="1:67" x14ac:dyDescent="0.45">
      <c r="A233" s="10">
        <v>212</v>
      </c>
      <c r="B233" s="10" t="s">
        <v>28</v>
      </c>
      <c r="C233" s="289" t="s">
        <v>2149</v>
      </c>
      <c r="D233" s="75" t="s">
        <v>1976</v>
      </c>
      <c r="E233" s="58"/>
      <c r="F233" s="64" t="s">
        <v>2297</v>
      </c>
      <c r="G233" s="63" t="s">
        <v>2106</v>
      </c>
      <c r="H233" s="10"/>
      <c r="I233" s="62">
        <v>198.36530251000002</v>
      </c>
      <c r="J233" s="62">
        <v>154.89880196000001</v>
      </c>
      <c r="K233" s="62">
        <v>147.78610187000001</v>
      </c>
      <c r="L233" s="49">
        <v>3001.2801459346838</v>
      </c>
      <c r="M233" s="49">
        <v>2742.1944095531835</v>
      </c>
      <c r="N233" s="49">
        <v>2551.1242192483332</v>
      </c>
      <c r="O233" s="61">
        <v>19.821555003045525</v>
      </c>
      <c r="P233" s="60"/>
      <c r="Q233" s="53" t="s">
        <v>51</v>
      </c>
      <c r="R233" s="9">
        <v>11.71172633554</v>
      </c>
      <c r="S233" s="53" t="s">
        <v>51</v>
      </c>
      <c r="T233" s="9">
        <v>13.013029261711111</v>
      </c>
      <c r="U233" s="69" t="s">
        <v>27</v>
      </c>
      <c r="V233" s="9">
        <v>15</v>
      </c>
      <c r="W233" s="59" t="s">
        <v>184</v>
      </c>
      <c r="X233" s="9">
        <v>72.411508903600009</v>
      </c>
      <c r="Y233" s="64" t="s">
        <v>52</v>
      </c>
      <c r="Z233" s="9">
        <v>51.019897056071443</v>
      </c>
      <c r="AA233" s="69" t="s">
        <v>27</v>
      </c>
      <c r="AB233" s="53" t="s">
        <v>184</v>
      </c>
      <c r="AC233" s="9">
        <v>21.114580435687902</v>
      </c>
      <c r="AD233" s="289" t="s">
        <v>27</v>
      </c>
      <c r="AE233" s="289" t="s">
        <v>26</v>
      </c>
      <c r="AF233" s="9">
        <v>20.917338876694767</v>
      </c>
      <c r="AG233" s="69" t="s">
        <v>27</v>
      </c>
      <c r="AH233" s="15" t="s">
        <v>52</v>
      </c>
      <c r="AI233" s="9">
        <v>20.91080318297529</v>
      </c>
      <c r="AJ233" s="53" t="s">
        <v>51</v>
      </c>
      <c r="AK233" s="59" t="s">
        <v>184</v>
      </c>
      <c r="AL233" s="9">
        <v>20.464084465828122</v>
      </c>
      <c r="AM233" s="53" t="s">
        <v>51</v>
      </c>
      <c r="AN233" s="69" t="s">
        <v>26</v>
      </c>
      <c r="AO233" s="9">
        <v>20.347330318007245</v>
      </c>
      <c r="AP233" s="60"/>
      <c r="AQ233" s="53" t="s">
        <v>51</v>
      </c>
      <c r="AR233" s="9">
        <v>10.283496157468001</v>
      </c>
      <c r="AS233" s="53" t="s">
        <v>51</v>
      </c>
      <c r="AT233" s="9">
        <v>5.1417480787340004</v>
      </c>
      <c r="AU233" s="289" t="s">
        <v>27</v>
      </c>
      <c r="AV233" s="9">
        <v>4</v>
      </c>
      <c r="AW233" s="15" t="s">
        <v>52</v>
      </c>
      <c r="AX233" s="9">
        <v>168.61868062095002</v>
      </c>
      <c r="AY233" s="64" t="s">
        <v>52</v>
      </c>
      <c r="AZ233" s="9">
        <v>2.4088382945850002</v>
      </c>
      <c r="BA233" s="289" t="s">
        <v>27</v>
      </c>
      <c r="BB233" s="64" t="s">
        <v>52</v>
      </c>
      <c r="BC233" s="9">
        <v>12.987697740874596</v>
      </c>
      <c r="BD233" s="59" t="s">
        <v>51</v>
      </c>
      <c r="BE233" s="64" t="s">
        <v>52</v>
      </c>
      <c r="BF233" s="9">
        <v>12.926363914077621</v>
      </c>
      <c r="BG233" s="59" t="s">
        <v>51</v>
      </c>
      <c r="BH233" s="53" t="s">
        <v>184</v>
      </c>
      <c r="BI233" s="9">
        <v>11.956327047351591</v>
      </c>
      <c r="BJ233" s="69" t="s">
        <v>27</v>
      </c>
      <c r="BK233" s="59" t="s">
        <v>184</v>
      </c>
      <c r="BL233" s="9">
        <v>11.888051048882224</v>
      </c>
      <c r="BM233" s="53" t="s">
        <v>51</v>
      </c>
      <c r="BN233" s="289" t="s">
        <v>26</v>
      </c>
      <c r="BO233" s="9">
        <v>11.094881997122728</v>
      </c>
    </row>
    <row r="234" spans="1:67" x14ac:dyDescent="0.45">
      <c r="A234" s="10">
        <v>213</v>
      </c>
      <c r="B234" s="10" t="s">
        <v>1083</v>
      </c>
      <c r="C234" s="289" t="s">
        <v>2151</v>
      </c>
      <c r="D234" s="65"/>
      <c r="E234" s="56" t="s">
        <v>2299</v>
      </c>
      <c r="F234" s="64" t="s">
        <v>2300</v>
      </c>
      <c r="G234" s="242"/>
      <c r="H234" s="10"/>
      <c r="I234" s="62">
        <v>25.289600320000002</v>
      </c>
      <c r="J234" s="62">
        <v>324.81330411000005</v>
      </c>
      <c r="K234" s="62">
        <v>79.030000999999999</v>
      </c>
      <c r="L234" s="49">
        <v>405.18640391948122</v>
      </c>
      <c r="M234" s="49">
        <v>749.74200220746741</v>
      </c>
      <c r="N234" s="49">
        <v>1226.6408502453237</v>
      </c>
      <c r="O234" s="61">
        <v>19.376311868993135</v>
      </c>
      <c r="P234" s="60"/>
      <c r="Q234" s="69" t="s">
        <v>1523</v>
      </c>
      <c r="R234" s="9">
        <v>3.2760640288</v>
      </c>
      <c r="S234" s="52" t="s">
        <v>41</v>
      </c>
      <c r="T234" s="9">
        <v>3.1342791367111111</v>
      </c>
      <c r="U234" s="69" t="s">
        <v>1523</v>
      </c>
      <c r="V234" s="9">
        <v>10</v>
      </c>
      <c r="W234" s="56" t="s">
        <v>87</v>
      </c>
      <c r="X234" s="9">
        <v>16.173760192</v>
      </c>
      <c r="Y234" s="56" t="s">
        <v>87</v>
      </c>
      <c r="Z234" s="9">
        <v>7.0320696486956527</v>
      </c>
      <c r="AA234" s="52" t="s">
        <v>41</v>
      </c>
      <c r="AB234" s="52" t="s">
        <v>87</v>
      </c>
      <c r="AC234" s="9">
        <v>3.7016790213670885</v>
      </c>
      <c r="AD234" s="56" t="s">
        <v>41</v>
      </c>
      <c r="AE234" s="56" t="s">
        <v>286</v>
      </c>
      <c r="AF234" s="9">
        <v>3.4482446258016402</v>
      </c>
      <c r="AG234" s="52" t="s">
        <v>41</v>
      </c>
      <c r="AH234" s="53" t="s">
        <v>194</v>
      </c>
      <c r="AI234" s="9">
        <v>3.213706931688693</v>
      </c>
      <c r="AJ234" s="69" t="s">
        <v>1523</v>
      </c>
      <c r="AK234" s="56" t="s">
        <v>87</v>
      </c>
      <c r="AL234" s="9">
        <v>3.0551725307499997</v>
      </c>
      <c r="AM234" s="69" t="s">
        <v>1523</v>
      </c>
      <c r="AN234" s="52" t="s">
        <v>286</v>
      </c>
      <c r="AO234" s="9">
        <v>2.9203108678936602</v>
      </c>
      <c r="AP234" s="60"/>
      <c r="AQ234" s="69" t="s">
        <v>1523</v>
      </c>
      <c r="AR234" s="9">
        <v>2.7753299424640003</v>
      </c>
      <c r="AS234" s="52" t="s">
        <v>41</v>
      </c>
      <c r="AT234" s="9">
        <v>1.2890355299840002</v>
      </c>
      <c r="AU234" s="289" t="s">
        <v>1523</v>
      </c>
      <c r="AV234" s="9">
        <v>2.6666666666666998</v>
      </c>
      <c r="AW234" s="52" t="s">
        <v>87</v>
      </c>
      <c r="AX234" s="9">
        <v>20.725888249600001</v>
      </c>
      <c r="AY234" s="56" t="s">
        <v>87</v>
      </c>
      <c r="AZ234" s="9">
        <v>0.37683433181090908</v>
      </c>
      <c r="BA234" s="56" t="s">
        <v>41</v>
      </c>
      <c r="BB234" s="56" t="s">
        <v>87</v>
      </c>
      <c r="BC234" s="9">
        <v>2.1341160830107828</v>
      </c>
      <c r="BD234" s="56" t="s">
        <v>41</v>
      </c>
      <c r="BE234" s="56" t="s">
        <v>286</v>
      </c>
      <c r="BF234" s="9">
        <v>1.8522066237967059</v>
      </c>
      <c r="BG234" s="289" t="s">
        <v>1523</v>
      </c>
      <c r="BH234" s="52" t="s">
        <v>87</v>
      </c>
      <c r="BI234" s="9">
        <v>1.8407529065452024</v>
      </c>
      <c r="BJ234" s="52" t="s">
        <v>41</v>
      </c>
      <c r="BK234" s="59" t="s">
        <v>194</v>
      </c>
      <c r="BL234" s="9">
        <v>1.8034977954406402</v>
      </c>
      <c r="BM234" s="69" t="s">
        <v>1523</v>
      </c>
      <c r="BN234" s="56" t="s">
        <v>286</v>
      </c>
      <c r="BO234" s="9">
        <v>1.5462246148200001</v>
      </c>
    </row>
    <row r="235" spans="1:67" x14ac:dyDescent="0.45">
      <c r="A235" s="10">
        <v>214</v>
      </c>
      <c r="B235" s="10" t="s">
        <v>1080</v>
      </c>
      <c r="C235" s="58" t="s">
        <v>2152</v>
      </c>
      <c r="D235" s="287" t="s">
        <v>1890</v>
      </c>
      <c r="E235" s="75" t="s">
        <v>2301</v>
      </c>
      <c r="F235" s="58" t="s">
        <v>2302</v>
      </c>
      <c r="G235" s="242"/>
      <c r="H235" s="10"/>
      <c r="I235" s="62">
        <v>196.78470249</v>
      </c>
      <c r="J235" s="62">
        <v>153.31820194000002</v>
      </c>
      <c r="K235" s="62">
        <v>162.01150205000002</v>
      </c>
      <c r="L235" s="49">
        <v>3101.4238154502341</v>
      </c>
      <c r="M235" s="49">
        <v>2880.186432517859</v>
      </c>
      <c r="N235" s="49">
        <v>2714.614637308689</v>
      </c>
      <c r="O235" s="61">
        <v>21.537258447948144</v>
      </c>
      <c r="P235" s="60"/>
      <c r="Q235" s="69" t="s">
        <v>1523</v>
      </c>
      <c r="R235" s="9">
        <v>18.710623224100001</v>
      </c>
      <c r="S235" s="55" t="s">
        <v>45</v>
      </c>
      <c r="T235" s="9">
        <v>16.853887310311109</v>
      </c>
      <c r="U235" s="69" t="s">
        <v>1523</v>
      </c>
      <c r="V235" s="9">
        <v>10</v>
      </c>
      <c r="W235" s="80" t="s">
        <v>79</v>
      </c>
      <c r="X235" s="9">
        <v>138.74929174300001</v>
      </c>
      <c r="Y235" s="58" t="s">
        <v>216</v>
      </c>
      <c r="Z235" s="9">
        <v>51.769922388695655</v>
      </c>
      <c r="AA235" s="55" t="s">
        <v>45</v>
      </c>
      <c r="AB235" s="55" t="s">
        <v>216</v>
      </c>
      <c r="AC235" s="9">
        <v>22.590093073188569</v>
      </c>
      <c r="AD235" s="58" t="s">
        <v>45</v>
      </c>
      <c r="AE235" s="80" t="s">
        <v>79</v>
      </c>
      <c r="AF235" s="9">
        <v>21.956847926381698</v>
      </c>
      <c r="AG235" s="55" t="s">
        <v>45</v>
      </c>
      <c r="AH235" s="69" t="s">
        <v>97</v>
      </c>
      <c r="AI235" s="9">
        <v>21.903181357930933</v>
      </c>
      <c r="AJ235" s="69" t="s">
        <v>1523</v>
      </c>
      <c r="AK235" s="58" t="s">
        <v>216</v>
      </c>
      <c r="AL235" s="9">
        <v>19.534780004898437</v>
      </c>
      <c r="AM235" s="69" t="s">
        <v>1523</v>
      </c>
      <c r="AN235" s="71" t="s">
        <v>79</v>
      </c>
      <c r="AO235" s="9">
        <v>19.129337185226955</v>
      </c>
      <c r="AP235" s="60"/>
      <c r="AQ235" s="69" t="s">
        <v>1523</v>
      </c>
      <c r="AR235" s="9">
        <v>14.814286114798001</v>
      </c>
      <c r="AS235" s="55" t="s">
        <v>45</v>
      </c>
      <c r="AT235" s="9">
        <v>6.6396827176880002</v>
      </c>
      <c r="AU235" s="58" t="s">
        <v>45</v>
      </c>
      <c r="AV235" s="9">
        <v>3.5</v>
      </c>
      <c r="AW235" s="55" t="s">
        <v>2483</v>
      </c>
      <c r="AX235" s="9">
        <v>154.49206794220001</v>
      </c>
      <c r="AY235" s="58" t="s">
        <v>216</v>
      </c>
      <c r="AZ235" s="9">
        <v>3.4331570653822223</v>
      </c>
      <c r="BA235" s="58" t="s">
        <v>45</v>
      </c>
      <c r="BB235" s="58" t="s">
        <v>216</v>
      </c>
      <c r="BC235" s="9">
        <v>17.30944247615794</v>
      </c>
      <c r="BD235" s="58" t="s">
        <v>45</v>
      </c>
      <c r="BE235" s="289" t="s">
        <v>97</v>
      </c>
      <c r="BF235" s="9">
        <v>14.56722330753453</v>
      </c>
      <c r="BG235" s="58" t="s">
        <v>45</v>
      </c>
      <c r="BH235" s="71" t="s">
        <v>79</v>
      </c>
      <c r="BI235" s="9">
        <v>14.194184152517082</v>
      </c>
      <c r="BJ235" s="69" t="s">
        <v>1523</v>
      </c>
      <c r="BK235" s="58" t="s">
        <v>216</v>
      </c>
      <c r="BL235" s="9">
        <v>13.304751179744827</v>
      </c>
      <c r="BM235" s="69" t="s">
        <v>1523</v>
      </c>
      <c r="BN235" s="289" t="s">
        <v>97</v>
      </c>
      <c r="BO235" s="9">
        <v>11.144096101142948</v>
      </c>
    </row>
    <row r="236" spans="1:67" x14ac:dyDescent="0.45">
      <c r="A236" s="10">
        <v>215</v>
      </c>
      <c r="B236" s="10" t="s">
        <v>1077</v>
      </c>
      <c r="C236" s="291" t="s">
        <v>2153</v>
      </c>
      <c r="D236" s="58" t="s">
        <v>1903</v>
      </c>
      <c r="E236" s="289" t="s">
        <v>2303</v>
      </c>
      <c r="F236" s="77" t="s">
        <v>2304</v>
      </c>
      <c r="G236" s="242" t="s">
        <v>1925</v>
      </c>
      <c r="H236" s="10"/>
      <c r="I236" s="62">
        <v>161.22120204000001</v>
      </c>
      <c r="J236" s="62">
        <v>127.23830161000001</v>
      </c>
      <c r="K236" s="62">
        <v>127.23830161000001</v>
      </c>
      <c r="L236" s="49">
        <v>2051.3511931092271</v>
      </c>
      <c r="M236" s="49">
        <v>1895.7100880543469</v>
      </c>
      <c r="N236" s="49">
        <v>1779.7436148010088</v>
      </c>
      <c r="O236" s="61">
        <v>14.362167585571076</v>
      </c>
      <c r="P236" s="60"/>
      <c r="Q236" s="74" t="s">
        <v>241</v>
      </c>
      <c r="R236" s="9">
        <v>12.60792654688</v>
      </c>
      <c r="S236" s="67" t="s">
        <v>14</v>
      </c>
      <c r="T236" s="9">
        <v>11.859191247111111</v>
      </c>
      <c r="U236" s="74" t="s">
        <v>2405</v>
      </c>
      <c r="V236" s="9">
        <v>10</v>
      </c>
      <c r="W236" s="291" t="s">
        <v>307</v>
      </c>
      <c r="X236" s="9">
        <v>88.059449101599995</v>
      </c>
      <c r="Y236" s="64" t="s">
        <v>52</v>
      </c>
      <c r="Z236" s="9">
        <v>41.733871938571433</v>
      </c>
      <c r="AA236" s="67" t="s">
        <v>14</v>
      </c>
      <c r="AB236" s="74" t="s">
        <v>307</v>
      </c>
      <c r="AC236" s="9">
        <v>19.13706562820202</v>
      </c>
      <c r="AD236" s="76" t="s">
        <v>14</v>
      </c>
      <c r="AE236" s="76" t="s">
        <v>30</v>
      </c>
      <c r="AF236" s="9">
        <v>18.286980156050792</v>
      </c>
      <c r="AG236" s="74" t="s">
        <v>241</v>
      </c>
      <c r="AH236" s="74" t="s">
        <v>307</v>
      </c>
      <c r="AI236" s="9">
        <v>18.258763166268398</v>
      </c>
      <c r="AJ236" s="74" t="s">
        <v>241</v>
      </c>
      <c r="AK236" s="76" t="s">
        <v>30</v>
      </c>
      <c r="AL236" s="9">
        <v>17.320847447923807</v>
      </c>
      <c r="AM236" s="67" t="s">
        <v>14</v>
      </c>
      <c r="AN236" s="15" t="s">
        <v>52</v>
      </c>
      <c r="AO236" s="9">
        <v>17.044053185298438</v>
      </c>
      <c r="AP236" s="60"/>
      <c r="AQ236" s="74" t="s">
        <v>241</v>
      </c>
      <c r="AR236" s="9">
        <v>12.317728383208001</v>
      </c>
      <c r="AS236" s="67" t="s">
        <v>14</v>
      </c>
      <c r="AT236" s="9">
        <v>4.2725761277360004</v>
      </c>
      <c r="AU236" s="291" t="s">
        <v>241</v>
      </c>
      <c r="AV236" s="9">
        <v>3.3333333333333002</v>
      </c>
      <c r="AW236" s="15" t="s">
        <v>52</v>
      </c>
      <c r="AX236" s="9">
        <v>137.2319157238</v>
      </c>
      <c r="AY236" s="291" t="s">
        <v>307</v>
      </c>
      <c r="AZ236" s="9">
        <v>2.5372729740462225</v>
      </c>
      <c r="BA236" s="291" t="s">
        <v>241</v>
      </c>
      <c r="BB236" s="291" t="s">
        <v>307</v>
      </c>
      <c r="BC236" s="9">
        <v>11.697038728035587</v>
      </c>
      <c r="BD236" s="76" t="s">
        <v>14</v>
      </c>
      <c r="BE236" s="291" t="s">
        <v>307</v>
      </c>
      <c r="BF236" s="9">
        <v>11.141620359257502</v>
      </c>
      <c r="BG236" s="291" t="s">
        <v>241</v>
      </c>
      <c r="BH236" s="15" t="s">
        <v>52</v>
      </c>
      <c r="BI236" s="9">
        <v>10.157091563920728</v>
      </c>
      <c r="BJ236" s="74" t="s">
        <v>241</v>
      </c>
      <c r="BK236" s="76" t="s">
        <v>30</v>
      </c>
      <c r="BL236" s="9">
        <v>9.9625209681569658</v>
      </c>
      <c r="BM236" s="67" t="s">
        <v>14</v>
      </c>
      <c r="BN236" s="64" t="s">
        <v>52</v>
      </c>
      <c r="BO236" s="9">
        <v>9.7366585768893152</v>
      </c>
    </row>
    <row r="237" spans="1:67" x14ac:dyDescent="0.45">
      <c r="A237" s="10">
        <v>216</v>
      </c>
      <c r="B237" s="10" t="s">
        <v>1075</v>
      </c>
      <c r="C237" s="64" t="s">
        <v>1889</v>
      </c>
      <c r="D237" s="65"/>
      <c r="E237" s="58" t="s">
        <v>1903</v>
      </c>
      <c r="F237" s="77"/>
      <c r="G237" s="77" t="s">
        <v>1888</v>
      </c>
      <c r="H237" s="10"/>
      <c r="I237" s="62">
        <v>124.07710157000001</v>
      </c>
      <c r="J237" s="62">
        <v>85.352401080000007</v>
      </c>
      <c r="K237" s="62">
        <v>134.35100170000001</v>
      </c>
      <c r="L237" s="49">
        <v>1328.6786780022235</v>
      </c>
      <c r="M237" s="49">
        <v>1265.0242797456422</v>
      </c>
      <c r="N237" s="49">
        <v>1216.3035584427751</v>
      </c>
      <c r="O237" s="61">
        <v>10.565398456010723</v>
      </c>
      <c r="P237" s="60"/>
      <c r="Q237" s="15" t="s">
        <v>1489</v>
      </c>
      <c r="R237" s="9">
        <v>5.4667756565200003</v>
      </c>
      <c r="S237" s="15" t="s">
        <v>1489</v>
      </c>
      <c r="T237" s="9">
        <v>10.933551313040001</v>
      </c>
      <c r="U237" s="68" t="s">
        <v>273</v>
      </c>
      <c r="V237" s="9">
        <v>12</v>
      </c>
      <c r="W237" s="65" t="s">
        <v>84</v>
      </c>
      <c r="X237" s="9">
        <v>56.834695706500007</v>
      </c>
      <c r="Y237" s="58" t="s">
        <v>1513</v>
      </c>
      <c r="Z237" s="9">
        <v>21.346183595000003</v>
      </c>
      <c r="AA237" s="15" t="s">
        <v>1489</v>
      </c>
      <c r="AB237" s="14" t="s">
        <v>84</v>
      </c>
      <c r="AC237" s="9">
        <v>13.679714908524591</v>
      </c>
      <c r="AD237" s="64" t="s">
        <v>1489</v>
      </c>
      <c r="AE237" s="58" t="s">
        <v>1513</v>
      </c>
      <c r="AF237" s="9">
        <v>12.948899496645161</v>
      </c>
      <c r="AG237" s="68" t="s">
        <v>273</v>
      </c>
      <c r="AH237" s="14" t="s">
        <v>84</v>
      </c>
      <c r="AI237" s="9">
        <v>12.879824320790098</v>
      </c>
      <c r="AJ237" s="15" t="s">
        <v>1489</v>
      </c>
      <c r="AK237" s="76" t="s">
        <v>91</v>
      </c>
      <c r="AL237" s="9">
        <v>12.214947876085972</v>
      </c>
      <c r="AM237" s="68" t="s">
        <v>273</v>
      </c>
      <c r="AN237" s="55" t="s">
        <v>1513</v>
      </c>
      <c r="AO237" s="9">
        <v>11.682706744632354</v>
      </c>
      <c r="AP237" s="60"/>
      <c r="AQ237" s="15" t="s">
        <v>1489</v>
      </c>
      <c r="AR237" s="9">
        <v>4.8712055689840001</v>
      </c>
      <c r="AS237" s="15" t="s">
        <v>1489</v>
      </c>
      <c r="AT237" s="9">
        <v>4.8712055689840001</v>
      </c>
      <c r="AU237" s="77" t="s">
        <v>273</v>
      </c>
      <c r="AV237" s="9">
        <v>3</v>
      </c>
      <c r="AW237" s="14" t="s">
        <v>84</v>
      </c>
      <c r="AX237" s="9">
        <v>73.585104418450015</v>
      </c>
      <c r="AY237" s="76" t="s">
        <v>91</v>
      </c>
      <c r="AZ237" s="9">
        <v>1.2767795825411112</v>
      </c>
      <c r="BA237" s="64" t="s">
        <v>1489</v>
      </c>
      <c r="BB237" s="76" t="s">
        <v>91</v>
      </c>
      <c r="BC237" s="9">
        <v>7.1088172985740439</v>
      </c>
      <c r="BD237" s="64" t="s">
        <v>1489</v>
      </c>
      <c r="BE237" s="65" t="s">
        <v>84</v>
      </c>
      <c r="BF237" s="9">
        <v>7.08778295122484</v>
      </c>
      <c r="BG237" s="64" t="s">
        <v>1489</v>
      </c>
      <c r="BH237" s="55" t="s">
        <v>1513</v>
      </c>
      <c r="BI237" s="9">
        <v>6.8416840793227029</v>
      </c>
      <c r="BJ237" s="68" t="s">
        <v>273</v>
      </c>
      <c r="BK237" s="76" t="s">
        <v>91</v>
      </c>
      <c r="BL237" s="9">
        <v>6.7967270889734381</v>
      </c>
      <c r="BM237" s="68" t="s">
        <v>273</v>
      </c>
      <c r="BN237" s="65" t="s">
        <v>84</v>
      </c>
      <c r="BO237" s="9">
        <v>6.7607225728928579</v>
      </c>
    </row>
    <row r="238" spans="1:67" x14ac:dyDescent="0.45">
      <c r="A238" s="10">
        <v>217</v>
      </c>
      <c r="B238" s="10" t="s">
        <v>113</v>
      </c>
      <c r="C238" s="64" t="s">
        <v>1889</v>
      </c>
      <c r="D238" s="65"/>
      <c r="E238" s="58" t="s">
        <v>1903</v>
      </c>
      <c r="F238" s="77"/>
      <c r="G238" s="77" t="s">
        <v>1888</v>
      </c>
      <c r="H238" s="10"/>
      <c r="I238" s="62">
        <v>198.36530251000002</v>
      </c>
      <c r="J238" s="62">
        <v>125.65770159</v>
      </c>
      <c r="K238" s="62">
        <v>175.44660222000002</v>
      </c>
      <c r="L238" s="49">
        <v>2945.3217584214731</v>
      </c>
      <c r="M238" s="49">
        <v>2674.2367644572814</v>
      </c>
      <c r="N238" s="49">
        <v>2475.4464874365281</v>
      </c>
      <c r="O238" s="61">
        <v>19.585187180436598</v>
      </c>
      <c r="P238" s="60"/>
      <c r="Q238" s="55" t="s">
        <v>45</v>
      </c>
      <c r="R238" s="9">
        <v>12.901918150600002</v>
      </c>
      <c r="S238" s="55" t="s">
        <v>45</v>
      </c>
      <c r="T238" s="9">
        <v>14.33546461177778</v>
      </c>
      <c r="U238" s="53" t="s">
        <v>56</v>
      </c>
      <c r="V238" s="9">
        <v>10</v>
      </c>
      <c r="W238" s="64" t="s">
        <v>112</v>
      </c>
      <c r="X238" s="9">
        <v>179.52877225900002</v>
      </c>
      <c r="Y238" s="64" t="s">
        <v>112</v>
      </c>
      <c r="Z238" s="9">
        <v>47.24441375236843</v>
      </c>
      <c r="AA238" s="55" t="s">
        <v>45</v>
      </c>
      <c r="AB238" s="15" t="s">
        <v>112</v>
      </c>
      <c r="AC238" s="9">
        <v>22.403465046245163</v>
      </c>
      <c r="AD238" s="77" t="s">
        <v>49</v>
      </c>
      <c r="AE238" s="64" t="s">
        <v>112</v>
      </c>
      <c r="AF238" s="9">
        <v>22.183326667461788</v>
      </c>
      <c r="AG238" s="53" t="s">
        <v>56</v>
      </c>
      <c r="AH238" s="15" t="s">
        <v>112</v>
      </c>
      <c r="AI238" s="9">
        <v>21.926430333216789</v>
      </c>
      <c r="AJ238" s="55" t="s">
        <v>45</v>
      </c>
      <c r="AK238" s="65" t="s">
        <v>84</v>
      </c>
      <c r="AL238" s="9">
        <v>20.047082061085046</v>
      </c>
      <c r="AM238" s="68" t="s">
        <v>49</v>
      </c>
      <c r="AN238" s="14" t="s">
        <v>84</v>
      </c>
      <c r="AO238" s="9">
        <v>19.80740930199428</v>
      </c>
      <c r="AP238" s="60"/>
      <c r="AQ238" s="55" t="s">
        <v>45</v>
      </c>
      <c r="AR238" s="9">
        <v>11.314995730520002</v>
      </c>
      <c r="AS238" s="55" t="s">
        <v>45</v>
      </c>
      <c r="AT238" s="9">
        <v>5.6574978652600008</v>
      </c>
      <c r="AU238" s="77" t="s">
        <v>49</v>
      </c>
      <c r="AV238" s="9">
        <v>4</v>
      </c>
      <c r="AW238" s="15" t="s">
        <v>112</v>
      </c>
      <c r="AX238" s="9">
        <v>233.08740393670004</v>
      </c>
      <c r="AY238" s="64" t="s">
        <v>112</v>
      </c>
      <c r="AZ238" s="9">
        <v>2.9135925492087504</v>
      </c>
      <c r="BA238" s="77" t="s">
        <v>49</v>
      </c>
      <c r="BB238" s="64" t="s">
        <v>112</v>
      </c>
      <c r="BC238" s="9">
        <v>15.259517710266669</v>
      </c>
      <c r="BD238" s="58" t="s">
        <v>45</v>
      </c>
      <c r="BE238" s="64" t="s">
        <v>112</v>
      </c>
      <c r="BF238" s="9">
        <v>15.19048794011078</v>
      </c>
      <c r="BG238" s="58" t="s">
        <v>45</v>
      </c>
      <c r="BH238" s="55" t="s">
        <v>216</v>
      </c>
      <c r="BI238" s="9">
        <v>14.626153961792784</v>
      </c>
      <c r="BJ238" s="68" t="s">
        <v>49</v>
      </c>
      <c r="BK238" s="58" t="s">
        <v>216</v>
      </c>
      <c r="BL238" s="9">
        <v>14.618680397520919</v>
      </c>
      <c r="BM238" s="53" t="s">
        <v>56</v>
      </c>
      <c r="BN238" s="64" t="s">
        <v>112</v>
      </c>
      <c r="BO238" s="9">
        <v>12.013700061121687</v>
      </c>
    </row>
    <row r="239" spans="1:67" x14ac:dyDescent="0.45">
      <c r="A239" s="10">
        <v>218</v>
      </c>
      <c r="B239" s="10" t="s">
        <v>1070</v>
      </c>
      <c r="C239" s="75" t="s">
        <v>1976</v>
      </c>
      <c r="D239" s="65"/>
      <c r="E239" s="80" t="s">
        <v>2198</v>
      </c>
      <c r="F239" s="289" t="s">
        <v>2199</v>
      </c>
      <c r="G239" s="242"/>
      <c r="H239" s="10"/>
      <c r="I239" s="62">
        <v>105.10990133000001</v>
      </c>
      <c r="J239" s="62">
        <v>67.965800860000002</v>
      </c>
      <c r="K239" s="62">
        <v>106.69050135000001</v>
      </c>
      <c r="L239" s="49">
        <v>895.05912749963136</v>
      </c>
      <c r="M239" s="49">
        <v>834.39792487171053</v>
      </c>
      <c r="N239" s="49">
        <v>788.84269300241374</v>
      </c>
      <c r="O239" s="61">
        <v>6.7898291898190077</v>
      </c>
      <c r="P239" s="60"/>
      <c r="Q239" s="52" t="s">
        <v>2406</v>
      </c>
      <c r="R239" s="9">
        <v>7.3065940798000009</v>
      </c>
      <c r="S239" s="52" t="s">
        <v>41</v>
      </c>
      <c r="T239" s="9">
        <v>8.1184378664444452</v>
      </c>
      <c r="U239" s="70" t="s">
        <v>138</v>
      </c>
      <c r="V239" s="9">
        <v>10</v>
      </c>
      <c r="W239" s="75" t="s">
        <v>2408</v>
      </c>
      <c r="X239" s="9">
        <v>45.146158558600007</v>
      </c>
      <c r="Y239" s="75" t="s">
        <v>280</v>
      </c>
      <c r="Z239" s="9">
        <v>17.363907137923078</v>
      </c>
      <c r="AA239" s="52" t="s">
        <v>41</v>
      </c>
      <c r="AB239" s="70" t="s">
        <v>280</v>
      </c>
      <c r="AC239" s="9">
        <v>10.78089895411709</v>
      </c>
      <c r="AD239" s="75" t="s">
        <v>138</v>
      </c>
      <c r="AE239" s="75" t="s">
        <v>280</v>
      </c>
      <c r="AF239" s="9">
        <v>10.747253810210529</v>
      </c>
      <c r="AG239" s="52" t="s">
        <v>41</v>
      </c>
      <c r="AH239" s="52" t="s">
        <v>40</v>
      </c>
      <c r="AI239" s="9">
        <v>10.432510605852896</v>
      </c>
      <c r="AJ239" s="70" t="s">
        <v>138</v>
      </c>
      <c r="AK239" s="56" t="s">
        <v>40</v>
      </c>
      <c r="AL239" s="9">
        <v>10.334666354675326</v>
      </c>
      <c r="AM239" s="52" t="s">
        <v>41</v>
      </c>
      <c r="AN239" s="70" t="s">
        <v>1482</v>
      </c>
      <c r="AO239" s="9">
        <v>9.8865061113698491</v>
      </c>
      <c r="AP239" s="60"/>
      <c r="AQ239" s="52" t="s">
        <v>41</v>
      </c>
      <c r="AR239" s="9">
        <v>6.465714869160001</v>
      </c>
      <c r="AS239" s="52" t="s">
        <v>41</v>
      </c>
      <c r="AT239" s="9">
        <v>3.2328574345800005</v>
      </c>
      <c r="AU239" s="75" t="s">
        <v>138</v>
      </c>
      <c r="AV239" s="9">
        <v>3</v>
      </c>
      <c r="AW239" s="70" t="s">
        <v>2407</v>
      </c>
      <c r="AX239" s="9">
        <v>58.390006126180012</v>
      </c>
      <c r="AY239" s="56" t="s">
        <v>40</v>
      </c>
      <c r="AZ239" s="9">
        <v>1.2368255264800001</v>
      </c>
      <c r="BA239" s="75" t="s">
        <v>138</v>
      </c>
      <c r="BB239" s="56" t="s">
        <v>40</v>
      </c>
      <c r="BC239" s="9">
        <v>6.2531702536518763</v>
      </c>
      <c r="BD239" s="75" t="s">
        <v>138</v>
      </c>
      <c r="BE239" s="75" t="s">
        <v>1482</v>
      </c>
      <c r="BF239" s="9">
        <v>6.097143451596982</v>
      </c>
      <c r="BG239" s="56" t="s">
        <v>41</v>
      </c>
      <c r="BH239" s="52" t="s">
        <v>40</v>
      </c>
      <c r="BI239" s="9">
        <v>5.9920306586336851</v>
      </c>
      <c r="BJ239" s="52" t="s">
        <v>41</v>
      </c>
      <c r="BK239" s="75" t="s">
        <v>1482</v>
      </c>
      <c r="BL239" s="9">
        <v>5.8593883246561917</v>
      </c>
      <c r="BM239" s="70" t="s">
        <v>138</v>
      </c>
      <c r="BN239" s="75" t="s">
        <v>280</v>
      </c>
      <c r="BO239" s="9">
        <v>5.8266631274181044</v>
      </c>
    </row>
    <row r="240" spans="1:67" x14ac:dyDescent="0.45">
      <c r="A240" s="10">
        <v>219</v>
      </c>
      <c r="B240" s="10" t="s">
        <v>1068</v>
      </c>
      <c r="C240" s="56" t="s">
        <v>2154</v>
      </c>
      <c r="D240" s="80" t="s">
        <v>2146</v>
      </c>
      <c r="E240" s="58" t="s">
        <v>2193</v>
      </c>
      <c r="F240" s="64" t="s">
        <v>2305</v>
      </c>
      <c r="G240" s="75" t="s">
        <v>1976</v>
      </c>
      <c r="H240" s="10"/>
      <c r="I240" s="62">
        <v>121.70620154000001</v>
      </c>
      <c r="J240" s="62">
        <v>162.80180206</v>
      </c>
      <c r="K240" s="62">
        <v>120.12560152</v>
      </c>
      <c r="L240" s="49">
        <v>1702.0021323837329</v>
      </c>
      <c r="M240" s="49">
        <v>1782.6728939772552</v>
      </c>
      <c r="N240" s="49">
        <v>1849.9539159124765</v>
      </c>
      <c r="O240" s="61">
        <v>16.818570771348323</v>
      </c>
      <c r="P240" s="60"/>
      <c r="Q240" s="52" t="s">
        <v>41</v>
      </c>
      <c r="R240" s="9">
        <v>9.7628465108800011</v>
      </c>
      <c r="S240" s="52" t="s">
        <v>41</v>
      </c>
      <c r="T240" s="9">
        <v>10.847607234311113</v>
      </c>
      <c r="U240" s="70" t="s">
        <v>138</v>
      </c>
      <c r="V240" s="9">
        <v>10</v>
      </c>
      <c r="W240" s="75" t="s">
        <v>48</v>
      </c>
      <c r="X240" s="9">
        <v>117.83795347840001</v>
      </c>
      <c r="Y240" s="56" t="s">
        <v>87</v>
      </c>
      <c r="Z240" s="9">
        <v>32.184226488695657</v>
      </c>
      <c r="AA240" s="52" t="s">
        <v>41</v>
      </c>
      <c r="AB240" s="70" t="s">
        <v>48</v>
      </c>
      <c r="AC240" s="9">
        <v>15.101751493805715</v>
      </c>
      <c r="AD240" s="75" t="s">
        <v>138</v>
      </c>
      <c r="AE240" s="75" t="s">
        <v>48</v>
      </c>
      <c r="AF240" s="9">
        <v>14.347262457314287</v>
      </c>
      <c r="AG240" s="52" t="s">
        <v>41</v>
      </c>
      <c r="AH240" s="52" t="s">
        <v>87</v>
      </c>
      <c r="AI240" s="9">
        <v>13.953570796658228</v>
      </c>
      <c r="AJ240" s="52" t="s">
        <v>41</v>
      </c>
      <c r="AK240" s="75" t="s">
        <v>270</v>
      </c>
      <c r="AL240" s="9">
        <v>13.140317123696972</v>
      </c>
      <c r="AM240" s="70" t="s">
        <v>138</v>
      </c>
      <c r="AN240" s="52" t="s">
        <v>87</v>
      </c>
      <c r="AO240" s="9">
        <v>12.76808470308943</v>
      </c>
      <c r="AP240" s="60"/>
      <c r="AQ240" s="52" t="s">
        <v>41</v>
      </c>
      <c r="AR240" s="9">
        <v>8.5944669760960011</v>
      </c>
      <c r="AS240" s="52" t="s">
        <v>41</v>
      </c>
      <c r="AT240" s="9">
        <v>4.2972334880480005</v>
      </c>
      <c r="AU240" s="75" t="s">
        <v>138</v>
      </c>
      <c r="AV240" s="9">
        <v>3</v>
      </c>
      <c r="AW240" s="70" t="s">
        <v>48</v>
      </c>
      <c r="AX240" s="9">
        <v>124.41008836156001</v>
      </c>
      <c r="AY240" s="75" t="s">
        <v>48</v>
      </c>
      <c r="AZ240" s="9">
        <v>2.2620016065738184</v>
      </c>
      <c r="BA240" s="75" t="s">
        <v>138</v>
      </c>
      <c r="BB240" s="75" t="s">
        <v>48</v>
      </c>
      <c r="BC240" s="9">
        <v>9.609761145976897</v>
      </c>
      <c r="BD240" s="56" t="s">
        <v>41</v>
      </c>
      <c r="BE240" s="75" t="s">
        <v>48</v>
      </c>
      <c r="BF240" s="9">
        <v>9.5195315260267837</v>
      </c>
      <c r="BG240" s="56" t="s">
        <v>41</v>
      </c>
      <c r="BH240" s="52" t="s">
        <v>87</v>
      </c>
      <c r="BI240" s="9">
        <v>8.2813032147067833</v>
      </c>
      <c r="BJ240" s="70" t="s">
        <v>138</v>
      </c>
      <c r="BK240" s="56" t="s">
        <v>87</v>
      </c>
      <c r="BL240" s="9">
        <v>8.1366964307858627</v>
      </c>
      <c r="BM240" s="52" t="s">
        <v>41</v>
      </c>
      <c r="BN240" s="75" t="s">
        <v>270</v>
      </c>
      <c r="BO240" s="9">
        <v>7.1000419349219364</v>
      </c>
    </row>
    <row r="241" spans="1:67" x14ac:dyDescent="0.45">
      <c r="A241" s="10">
        <v>220</v>
      </c>
      <c r="B241" s="10" t="s">
        <v>1065</v>
      </c>
      <c r="C241" s="80" t="s">
        <v>2155</v>
      </c>
      <c r="D241" s="65"/>
      <c r="E241" s="58" t="s">
        <v>2306</v>
      </c>
      <c r="F241" s="63" t="s">
        <v>1971</v>
      </c>
      <c r="G241" s="290" t="s">
        <v>1992</v>
      </c>
      <c r="H241" s="10"/>
      <c r="I241" s="62">
        <v>82.981501050000006</v>
      </c>
      <c r="J241" s="62">
        <v>66.38520084000001</v>
      </c>
      <c r="K241" s="62">
        <v>120.12560152</v>
      </c>
      <c r="L241" s="49">
        <v>741.02815814716701</v>
      </c>
      <c r="M241" s="49">
        <v>759.37930425566697</v>
      </c>
      <c r="N241" s="49">
        <v>774.38689309873848</v>
      </c>
      <c r="O241" s="61">
        <v>7.4781253309304985</v>
      </c>
      <c r="P241" s="60"/>
      <c r="Q241" s="74" t="s">
        <v>59</v>
      </c>
      <c r="R241" s="9">
        <v>3.9873340378000002</v>
      </c>
      <c r="S241" s="15" t="s">
        <v>127</v>
      </c>
      <c r="T241" s="9">
        <v>6.1490750525000006</v>
      </c>
      <c r="U241" s="74" t="s">
        <v>59</v>
      </c>
      <c r="V241" s="9">
        <v>15</v>
      </c>
      <c r="W241" s="56" t="s">
        <v>40</v>
      </c>
      <c r="X241" s="9">
        <v>34.192600420000005</v>
      </c>
      <c r="Y241" s="56" t="s">
        <v>40</v>
      </c>
      <c r="Z241" s="9">
        <v>12.663926081481483</v>
      </c>
      <c r="AA241" s="15" t="s">
        <v>127</v>
      </c>
      <c r="AB241" s="52" t="s">
        <v>40</v>
      </c>
      <c r="AC241" s="9">
        <v>8.4335033353896112</v>
      </c>
      <c r="AD241" s="64" t="s">
        <v>127</v>
      </c>
      <c r="AE241" s="64" t="s">
        <v>1480</v>
      </c>
      <c r="AF241" s="9">
        <v>8.0717755613057331</v>
      </c>
      <c r="AG241" s="74" t="s">
        <v>59</v>
      </c>
      <c r="AH241" s="52" t="s">
        <v>40</v>
      </c>
      <c r="AI241" s="9">
        <v>7.8702288197790065</v>
      </c>
      <c r="AJ241" s="15" t="s">
        <v>127</v>
      </c>
      <c r="AK241" s="291" t="s">
        <v>69</v>
      </c>
      <c r="AL241" s="9">
        <v>7.7442598823618098</v>
      </c>
      <c r="AM241" s="74" t="s">
        <v>59</v>
      </c>
      <c r="AN241" s="15" t="s">
        <v>1480</v>
      </c>
      <c r="AO241" s="9">
        <v>7.4246646393126703</v>
      </c>
      <c r="AP241" s="60"/>
      <c r="AQ241" s="74" t="s">
        <v>59</v>
      </c>
      <c r="AR241" s="9">
        <v>3.5890228327600004</v>
      </c>
      <c r="AS241" s="15" t="s">
        <v>127</v>
      </c>
      <c r="AT241" s="9">
        <v>2.6181392704749999</v>
      </c>
      <c r="AU241" s="291" t="s">
        <v>59</v>
      </c>
      <c r="AV241" s="9">
        <v>4</v>
      </c>
      <c r="AW241" s="52" t="s">
        <v>40</v>
      </c>
      <c r="AX241" s="9">
        <v>44.150380546000001</v>
      </c>
      <c r="AY241" s="56" t="s">
        <v>40</v>
      </c>
      <c r="AZ241" s="9">
        <v>0.98111956768888886</v>
      </c>
      <c r="BA241" s="291" t="s">
        <v>59</v>
      </c>
      <c r="BB241" s="56" t="s">
        <v>40</v>
      </c>
      <c r="BC241" s="9">
        <v>5.252133386144898</v>
      </c>
      <c r="BD241" s="291" t="s">
        <v>59</v>
      </c>
      <c r="BE241" s="64" t="s">
        <v>1480</v>
      </c>
      <c r="BF241" s="9">
        <v>5.0322831079820523</v>
      </c>
      <c r="BG241" s="291" t="s">
        <v>59</v>
      </c>
      <c r="BH241" s="74" t="s">
        <v>69</v>
      </c>
      <c r="BI241" s="9">
        <v>4.8998853816877563</v>
      </c>
      <c r="BJ241" s="15" t="s">
        <v>127</v>
      </c>
      <c r="BK241" s="56" t="s">
        <v>40</v>
      </c>
      <c r="BL241" s="9">
        <v>4.3854686864547876</v>
      </c>
      <c r="BM241" s="15" t="s">
        <v>127</v>
      </c>
      <c r="BN241" s="64" t="s">
        <v>1480</v>
      </c>
      <c r="BO241" s="9">
        <v>4.2800120347466217</v>
      </c>
    </row>
    <row r="242" spans="1:67" x14ac:dyDescent="0.45">
      <c r="A242" s="10">
        <v>221</v>
      </c>
      <c r="B242" s="10" t="s">
        <v>1063</v>
      </c>
      <c r="C242" s="80" t="s">
        <v>2155</v>
      </c>
      <c r="D242" s="65"/>
      <c r="E242" s="58" t="s">
        <v>2306</v>
      </c>
      <c r="F242" s="63" t="s">
        <v>1971</v>
      </c>
      <c r="G242" s="290" t="s">
        <v>1992</v>
      </c>
      <c r="H242" s="10"/>
      <c r="I242" s="62">
        <v>154.89880196000001</v>
      </c>
      <c r="J242" s="62">
        <v>120.91590153000001</v>
      </c>
      <c r="K242" s="62">
        <v>189.67200240000003</v>
      </c>
      <c r="L242" s="49">
        <v>2345.8021634870893</v>
      </c>
      <c r="M242" s="49">
        <v>2328.2152922876039</v>
      </c>
      <c r="N242" s="49">
        <v>2314.2407761186673</v>
      </c>
      <c r="O242" s="61">
        <v>20.460376317163448</v>
      </c>
      <c r="P242" s="60"/>
      <c r="Q242" s="74" t="s">
        <v>241</v>
      </c>
      <c r="R242" s="9">
        <v>12.152713741120001</v>
      </c>
      <c r="S242" s="74" t="s">
        <v>241</v>
      </c>
      <c r="T242" s="9">
        <v>10.127261450933334</v>
      </c>
      <c r="U242" s="74" t="s">
        <v>59</v>
      </c>
      <c r="V242" s="9">
        <v>15</v>
      </c>
      <c r="W242" s="291" t="s">
        <v>307</v>
      </c>
      <c r="X242" s="9">
        <v>84.645353058400005</v>
      </c>
      <c r="Y242" s="56" t="s">
        <v>87</v>
      </c>
      <c r="Z242" s="9">
        <v>34.10843520869566</v>
      </c>
      <c r="AA242" s="74" t="s">
        <v>59</v>
      </c>
      <c r="AB242" s="74" t="s">
        <v>307</v>
      </c>
      <c r="AC242" s="9">
        <v>17.662962866342543</v>
      </c>
      <c r="AD242" s="291" t="s">
        <v>241</v>
      </c>
      <c r="AE242" s="291" t="s">
        <v>307</v>
      </c>
      <c r="AF242" s="9">
        <v>17.569046793904764</v>
      </c>
      <c r="AG242" s="74" t="s">
        <v>241</v>
      </c>
      <c r="AH242" s="71" t="s">
        <v>1504</v>
      </c>
      <c r="AI242" s="9">
        <v>14.822086140643139</v>
      </c>
      <c r="AJ242" s="74" t="s">
        <v>241</v>
      </c>
      <c r="AK242" s="56" t="s">
        <v>87</v>
      </c>
      <c r="AL242" s="9">
        <v>14.337696538174047</v>
      </c>
      <c r="AM242" s="74" t="s">
        <v>59</v>
      </c>
      <c r="AN242" s="71" t="s">
        <v>1504</v>
      </c>
      <c r="AO242" s="9">
        <v>14.235016757463415</v>
      </c>
      <c r="AP242" s="60"/>
      <c r="AQ242" s="74" t="s">
        <v>241</v>
      </c>
      <c r="AR242" s="9">
        <v>11.873895897592002</v>
      </c>
      <c r="AS242" s="74" t="s">
        <v>241</v>
      </c>
      <c r="AT242" s="9">
        <v>3.9579652991973338</v>
      </c>
      <c r="AU242" s="291" t="s">
        <v>59</v>
      </c>
      <c r="AV242" s="9">
        <v>4</v>
      </c>
      <c r="AW242" s="74" t="s">
        <v>307</v>
      </c>
      <c r="AX242" s="9">
        <v>109.73895897592001</v>
      </c>
      <c r="AY242" s="291" t="s">
        <v>307</v>
      </c>
      <c r="AZ242" s="9">
        <v>2.4386435327982223</v>
      </c>
      <c r="BA242" s="291" t="s">
        <v>59</v>
      </c>
      <c r="BB242" s="291" t="s">
        <v>307</v>
      </c>
      <c r="BC242" s="9">
        <v>11.636628466930613</v>
      </c>
      <c r="BD242" s="291" t="s">
        <v>241</v>
      </c>
      <c r="BE242" s="291" t="s">
        <v>307</v>
      </c>
      <c r="BF242" s="9">
        <v>11.253206242419589</v>
      </c>
      <c r="BG242" s="291" t="s">
        <v>59</v>
      </c>
      <c r="BH242" s="52" t="s">
        <v>87</v>
      </c>
      <c r="BI242" s="9">
        <v>9.6125433419945772</v>
      </c>
      <c r="BJ242" s="74" t="s">
        <v>241</v>
      </c>
      <c r="BK242" s="56" t="s">
        <v>87</v>
      </c>
      <c r="BL242" s="9">
        <v>9.5423227834717714</v>
      </c>
      <c r="BM242" s="74" t="s">
        <v>241</v>
      </c>
      <c r="BN242" s="80" t="s">
        <v>1504</v>
      </c>
      <c r="BO242" s="9">
        <v>8.8894856741364219</v>
      </c>
    </row>
    <row r="243" spans="1:67" x14ac:dyDescent="0.45">
      <c r="A243" s="10">
        <v>222</v>
      </c>
      <c r="B243" s="10" t="s">
        <v>1062</v>
      </c>
      <c r="C243" s="56" t="s">
        <v>2136</v>
      </c>
      <c r="D243" s="79" t="s">
        <v>1983</v>
      </c>
      <c r="E243" s="58" t="s">
        <v>2271</v>
      </c>
      <c r="F243" s="64" t="s">
        <v>2272</v>
      </c>
      <c r="G243" s="75" t="s">
        <v>1976</v>
      </c>
      <c r="H243" s="10"/>
      <c r="I243" s="62">
        <v>105.10990133000001</v>
      </c>
      <c r="J243" s="62">
        <v>135.14130171000002</v>
      </c>
      <c r="K243" s="62">
        <v>127.23830161000001</v>
      </c>
      <c r="L243" s="49">
        <v>1378.3090541311024</v>
      </c>
      <c r="M243" s="49">
        <v>1483.7693412807612</v>
      </c>
      <c r="N243" s="49">
        <v>1573.918428417013</v>
      </c>
      <c r="O243" s="61">
        <v>15.14802578413971</v>
      </c>
      <c r="P243" s="60"/>
      <c r="Q243" s="73" t="s">
        <v>214</v>
      </c>
      <c r="R243" s="9">
        <v>8.567912895760001</v>
      </c>
      <c r="S243" s="15" t="s">
        <v>127</v>
      </c>
      <c r="T243" s="9">
        <v>7.2554950665000009</v>
      </c>
      <c r="U243" s="73" t="s">
        <v>214</v>
      </c>
      <c r="V243" s="9">
        <v>11.667</v>
      </c>
      <c r="W243" s="56" t="s">
        <v>1520</v>
      </c>
      <c r="X243" s="9">
        <v>51.452752638400007</v>
      </c>
      <c r="Y243" s="56" t="s">
        <v>1520</v>
      </c>
      <c r="Z243" s="9">
        <v>17.742328496000003</v>
      </c>
      <c r="AA243" s="73" t="s">
        <v>214</v>
      </c>
      <c r="AB243" s="52" t="s">
        <v>1520</v>
      </c>
      <c r="AC243" s="9">
        <v>11.418828844190855</v>
      </c>
      <c r="AD243" s="64" t="s">
        <v>127</v>
      </c>
      <c r="AE243" s="56" t="s">
        <v>1520</v>
      </c>
      <c r="AF243" s="9">
        <v>11.105092148215192</v>
      </c>
      <c r="AG243" s="73" t="s">
        <v>214</v>
      </c>
      <c r="AH243" s="52" t="s">
        <v>286</v>
      </c>
      <c r="AI243" s="9">
        <v>10.678078992958694</v>
      </c>
      <c r="AJ243" s="73" t="s">
        <v>214</v>
      </c>
      <c r="AK243" s="288" t="s">
        <v>1524</v>
      </c>
      <c r="AL243" s="9">
        <v>10.464152005296297</v>
      </c>
      <c r="AM243" s="15" t="s">
        <v>127</v>
      </c>
      <c r="AN243" s="52" t="s">
        <v>286</v>
      </c>
      <c r="AO243" s="9">
        <v>10.438887230797546</v>
      </c>
      <c r="AP243" s="60"/>
      <c r="AQ243" s="73" t="s">
        <v>214</v>
      </c>
      <c r="AR243" s="9">
        <v>7.5588578429920013</v>
      </c>
      <c r="AS243" s="15" t="s">
        <v>127</v>
      </c>
      <c r="AT243" s="9">
        <v>3.0496430759350002</v>
      </c>
      <c r="AU243" s="288" t="s">
        <v>214</v>
      </c>
      <c r="AV243" s="9">
        <v>3.6666666666666998</v>
      </c>
      <c r="AW243" s="52" t="s">
        <v>1520</v>
      </c>
      <c r="AX243" s="9">
        <v>66.588578429920005</v>
      </c>
      <c r="AY243" s="56" t="s">
        <v>1520</v>
      </c>
      <c r="AZ243" s="9">
        <v>1.1098096404986668</v>
      </c>
      <c r="BA243" s="288" t="s">
        <v>214</v>
      </c>
      <c r="BB243" s="56" t="s">
        <v>1520</v>
      </c>
      <c r="BC243" s="9">
        <v>6.2094546246525661</v>
      </c>
      <c r="BD243" s="288" t="s">
        <v>214</v>
      </c>
      <c r="BE243" s="56" t="s">
        <v>286</v>
      </c>
      <c r="BF243" s="9">
        <v>5.8341663391250389</v>
      </c>
      <c r="BG243" s="64" t="s">
        <v>127</v>
      </c>
      <c r="BH243" s="52" t="s">
        <v>1520</v>
      </c>
      <c r="BI243" s="9">
        <v>5.0992861518700003</v>
      </c>
      <c r="BJ243" s="15" t="s">
        <v>127</v>
      </c>
      <c r="BK243" s="56" t="s">
        <v>286</v>
      </c>
      <c r="BL243" s="9">
        <v>4.9040820494000004</v>
      </c>
      <c r="BM243" s="73" t="s">
        <v>214</v>
      </c>
      <c r="BN243" s="288" t="s">
        <v>1524</v>
      </c>
      <c r="BO243" s="9">
        <v>4.1130920005536646</v>
      </c>
    </row>
    <row r="244" spans="1:67" x14ac:dyDescent="0.45">
      <c r="A244" s="10">
        <v>223</v>
      </c>
      <c r="B244" s="10" t="s">
        <v>1060</v>
      </c>
      <c r="C244" s="288" t="s">
        <v>1993</v>
      </c>
      <c r="D244" s="65"/>
      <c r="E244" s="290" t="s">
        <v>2201</v>
      </c>
      <c r="F244" s="59" t="s">
        <v>2202</v>
      </c>
      <c r="G244" s="242"/>
      <c r="H244" s="10"/>
      <c r="I244" s="62">
        <v>112.22260142</v>
      </c>
      <c r="J244" s="62">
        <v>66.38520084000001</v>
      </c>
      <c r="K244" s="62">
        <v>99.577801260000001</v>
      </c>
      <c r="L244" s="49">
        <v>912.42512315105648</v>
      </c>
      <c r="M244" s="49">
        <v>819.48830214483735</v>
      </c>
      <c r="N244" s="49">
        <v>752.0023150332197</v>
      </c>
      <c r="O244" s="61">
        <v>6.1989723137976496</v>
      </c>
      <c r="P244" s="60"/>
      <c r="Q244" s="73" t="s">
        <v>121</v>
      </c>
      <c r="R244" s="9">
        <v>4.3666780426000003</v>
      </c>
      <c r="S244" s="73" t="s">
        <v>121</v>
      </c>
      <c r="T244" s="9">
        <v>8.7333560852000005</v>
      </c>
      <c r="U244" s="71" t="s">
        <v>144</v>
      </c>
      <c r="V244" s="9">
        <v>11.667</v>
      </c>
      <c r="W244" s="288" t="s">
        <v>238</v>
      </c>
      <c r="X244" s="9">
        <v>48.133492596399996</v>
      </c>
      <c r="Y244" s="288" t="s">
        <v>238</v>
      </c>
      <c r="Z244" s="9">
        <v>15.041716436374998</v>
      </c>
      <c r="AA244" s="73" t="s">
        <v>121</v>
      </c>
      <c r="AB244" s="73" t="s">
        <v>238</v>
      </c>
      <c r="AC244" s="9">
        <v>11.195155246634148</v>
      </c>
      <c r="AD244" s="288" t="s">
        <v>121</v>
      </c>
      <c r="AE244" s="56" t="s">
        <v>286</v>
      </c>
      <c r="AF244" s="9">
        <v>10.705552878343559</v>
      </c>
      <c r="AG244" s="73" t="s">
        <v>121</v>
      </c>
      <c r="AH244" s="74" t="s">
        <v>108</v>
      </c>
      <c r="AI244" s="9">
        <v>10.474365028538012</v>
      </c>
      <c r="AJ244" s="71" t="s">
        <v>144</v>
      </c>
      <c r="AK244" s="288" t="s">
        <v>238</v>
      </c>
      <c r="AL244" s="9">
        <v>10.061311067744274</v>
      </c>
      <c r="AM244" s="71" t="s">
        <v>144</v>
      </c>
      <c r="AN244" s="52" t="s">
        <v>286</v>
      </c>
      <c r="AO244" s="9">
        <v>9.517052459221901</v>
      </c>
      <c r="AP244" s="60"/>
      <c r="AQ244" s="73" t="s">
        <v>121</v>
      </c>
      <c r="AR244" s="9">
        <v>3.6260088732280003</v>
      </c>
      <c r="AS244" s="73" t="s">
        <v>121</v>
      </c>
      <c r="AT244" s="9">
        <v>3.6260088732280003</v>
      </c>
      <c r="AU244" s="80" t="s">
        <v>144</v>
      </c>
      <c r="AV244" s="9">
        <v>4.5</v>
      </c>
      <c r="AW244" s="73" t="s">
        <v>238</v>
      </c>
      <c r="AX244" s="9">
        <v>62.273540375320003</v>
      </c>
      <c r="AY244" s="288" t="s">
        <v>238</v>
      </c>
      <c r="AZ244" s="9">
        <v>1.0378923395886668</v>
      </c>
      <c r="BA244" s="288" t="s">
        <v>121</v>
      </c>
      <c r="BB244" s="288" t="s">
        <v>238</v>
      </c>
      <c r="BC244" s="9">
        <v>6.4187484685657141</v>
      </c>
      <c r="BD244" s="288" t="s">
        <v>121</v>
      </c>
      <c r="BE244" s="291" t="s">
        <v>108</v>
      </c>
      <c r="BF244" s="9">
        <v>6.2798062001409525</v>
      </c>
      <c r="BG244" s="288" t="s">
        <v>121</v>
      </c>
      <c r="BH244" s="52" t="s">
        <v>286</v>
      </c>
      <c r="BI244" s="9">
        <v>5.9873811933400001</v>
      </c>
      <c r="BJ244" s="71" t="s">
        <v>144</v>
      </c>
      <c r="BK244" s="288" t="s">
        <v>238</v>
      </c>
      <c r="BL244" s="9">
        <v>5.8276147832502323</v>
      </c>
      <c r="BM244" s="71" t="s">
        <v>144</v>
      </c>
      <c r="BN244" s="291" t="s">
        <v>108</v>
      </c>
      <c r="BO244" s="9">
        <v>5.624048203930232</v>
      </c>
    </row>
    <row r="245" spans="1:67" x14ac:dyDescent="0.45">
      <c r="A245" s="10">
        <v>224</v>
      </c>
      <c r="B245" s="10" t="s">
        <v>252</v>
      </c>
      <c r="C245" s="288" t="s">
        <v>1993</v>
      </c>
      <c r="D245" s="65"/>
      <c r="E245" s="290" t="s">
        <v>2201</v>
      </c>
      <c r="F245" s="59" t="s">
        <v>2202</v>
      </c>
      <c r="G245" s="242"/>
      <c r="H245" s="10"/>
      <c r="I245" s="62">
        <v>167.54360212</v>
      </c>
      <c r="J245" s="62">
        <v>123.28680156000001</v>
      </c>
      <c r="K245" s="62">
        <v>154.89880196000001</v>
      </c>
      <c r="L245" s="49">
        <v>2315.3154545060606</v>
      </c>
      <c r="M245" s="49">
        <v>2171.3424783652108</v>
      </c>
      <c r="N245" s="49">
        <v>2062.6372425206773</v>
      </c>
      <c r="O245" s="61">
        <v>17.000981256614722</v>
      </c>
      <c r="P245" s="60"/>
      <c r="Q245" s="73" t="s">
        <v>121</v>
      </c>
      <c r="R245" s="9">
        <v>6.0263080636000002</v>
      </c>
      <c r="S245" s="73" t="s">
        <v>121</v>
      </c>
      <c r="T245" s="9">
        <v>12.0526161272</v>
      </c>
      <c r="U245" s="71" t="s">
        <v>144</v>
      </c>
      <c r="V245" s="9">
        <v>11.667</v>
      </c>
      <c r="W245" s="63" t="s">
        <v>251</v>
      </c>
      <c r="X245" s="9">
        <v>109.90334137800001</v>
      </c>
      <c r="Y245" s="63" t="s">
        <v>251</v>
      </c>
      <c r="Z245" s="9">
        <v>35.452690767096776</v>
      </c>
      <c r="AA245" s="73" t="s">
        <v>121</v>
      </c>
      <c r="AB245" s="54" t="s">
        <v>251</v>
      </c>
      <c r="AC245" s="9">
        <v>17.59003837022901</v>
      </c>
      <c r="AD245" s="288" t="s">
        <v>121</v>
      </c>
      <c r="AE245" s="288" t="s">
        <v>238</v>
      </c>
      <c r="AF245" s="9">
        <v>16.052608966634146</v>
      </c>
      <c r="AG245" s="71" t="s">
        <v>144</v>
      </c>
      <c r="AH245" s="54" t="s">
        <v>251</v>
      </c>
      <c r="AI245" s="9">
        <v>15.515057204380167</v>
      </c>
      <c r="AJ245" s="73" t="s">
        <v>121</v>
      </c>
      <c r="AK245" s="288" t="s">
        <v>1778</v>
      </c>
      <c r="AL245" s="9">
        <v>15.277556338630136</v>
      </c>
      <c r="AM245" s="73" t="s">
        <v>121</v>
      </c>
      <c r="AN245" s="74" t="s">
        <v>108</v>
      </c>
      <c r="AO245" s="9">
        <v>15.003569764210527</v>
      </c>
      <c r="AP245" s="60"/>
      <c r="AQ245" s="73" t="s">
        <v>121</v>
      </c>
      <c r="AR245" s="9">
        <v>4.9205202896080005</v>
      </c>
      <c r="AS245" s="73" t="s">
        <v>121</v>
      </c>
      <c r="AT245" s="9">
        <v>4.9205202896080005</v>
      </c>
      <c r="AU245" s="80" t="s">
        <v>144</v>
      </c>
      <c r="AV245" s="9">
        <v>4.5</v>
      </c>
      <c r="AW245" s="54" t="s">
        <v>251</v>
      </c>
      <c r="AX245" s="9">
        <v>142.5743437914</v>
      </c>
      <c r="AY245" s="63" t="s">
        <v>251</v>
      </c>
      <c r="AZ245" s="9">
        <v>1.9009912505519999</v>
      </c>
      <c r="BA245" s="288" t="s">
        <v>121</v>
      </c>
      <c r="BB245" s="63" t="s">
        <v>251</v>
      </c>
      <c r="BC245" s="9">
        <v>10.214898116600001</v>
      </c>
      <c r="BD245" s="80" t="s">
        <v>144</v>
      </c>
      <c r="BE245" s="63" t="s">
        <v>251</v>
      </c>
      <c r="BF245" s="9">
        <v>10.083029007692451</v>
      </c>
      <c r="BG245" s="288" t="s">
        <v>121</v>
      </c>
      <c r="BH245" s="73" t="s">
        <v>238</v>
      </c>
      <c r="BI245" s="9">
        <v>9.0899625023657151</v>
      </c>
      <c r="BJ245" s="73" t="s">
        <v>121</v>
      </c>
      <c r="BK245" s="291" t="s">
        <v>108</v>
      </c>
      <c r="BL245" s="9">
        <v>8.8825275664076209</v>
      </c>
      <c r="BM245" s="71" t="s">
        <v>144</v>
      </c>
      <c r="BN245" s="288" t="s">
        <v>238</v>
      </c>
      <c r="BO245" s="9">
        <v>8.436707560450234</v>
      </c>
    </row>
    <row r="246" spans="1:67" x14ac:dyDescent="0.45">
      <c r="A246" s="10">
        <v>225</v>
      </c>
      <c r="B246" s="10" t="s">
        <v>1058</v>
      </c>
      <c r="C246" s="287" t="s">
        <v>2138</v>
      </c>
      <c r="D246" s="56" t="s">
        <v>2025</v>
      </c>
      <c r="E246" s="59" t="s">
        <v>2275</v>
      </c>
      <c r="F246" s="289" t="s">
        <v>2118</v>
      </c>
      <c r="G246" s="80" t="s">
        <v>1892</v>
      </c>
      <c r="H246" s="10"/>
      <c r="I246" s="62">
        <v>113.01290143000001</v>
      </c>
      <c r="J246" s="62">
        <v>82.981501050000006</v>
      </c>
      <c r="K246" s="62">
        <v>113.01290143000001</v>
      </c>
      <c r="L246" s="49">
        <v>1094.4166222791503</v>
      </c>
      <c r="M246" s="49">
        <v>1039.5009507173033</v>
      </c>
      <c r="N246" s="49">
        <v>997.55915594219243</v>
      </c>
      <c r="O246" s="61">
        <v>8.6594094078104877</v>
      </c>
      <c r="P246" s="60"/>
      <c r="Q246" s="15" t="s">
        <v>1057</v>
      </c>
      <c r="R246" s="9">
        <v>3.8253225357500003</v>
      </c>
      <c r="S246" s="15" t="s">
        <v>1057</v>
      </c>
      <c r="T246" s="9">
        <v>2.9425557967307694</v>
      </c>
      <c r="U246" s="15" t="s">
        <v>1057</v>
      </c>
      <c r="V246" s="9">
        <v>15.385</v>
      </c>
      <c r="W246" s="291" t="s">
        <v>69</v>
      </c>
      <c r="X246" s="9">
        <v>41.684644514800006</v>
      </c>
      <c r="Y246" s="64" t="s">
        <v>52</v>
      </c>
      <c r="Z246" s="9">
        <v>29.681796786071434</v>
      </c>
      <c r="AA246" s="15" t="s">
        <v>1057</v>
      </c>
      <c r="AB246" s="74" t="s">
        <v>114</v>
      </c>
      <c r="AC246" s="9">
        <v>10.150674095553279</v>
      </c>
      <c r="AD246" s="64" t="s">
        <v>1057</v>
      </c>
      <c r="AE246" s="287" t="s">
        <v>203</v>
      </c>
      <c r="AF246" s="9">
        <v>9.7817069412007314</v>
      </c>
      <c r="AG246" s="15" t="s">
        <v>1057</v>
      </c>
      <c r="AH246" s="15" t="s">
        <v>52</v>
      </c>
      <c r="AI246" s="9">
        <v>9.4719053406395357</v>
      </c>
      <c r="AJ246" s="15" t="s">
        <v>1057</v>
      </c>
      <c r="AK246" s="291" t="s">
        <v>69</v>
      </c>
      <c r="AL246" s="9">
        <v>8.7914967209237815</v>
      </c>
      <c r="AM246" s="15" t="s">
        <v>1057</v>
      </c>
      <c r="AN246" s="15" t="s">
        <v>1535</v>
      </c>
      <c r="AO246" s="9">
        <v>3.1262838314600003</v>
      </c>
      <c r="AP246" s="60"/>
      <c r="AQ246" s="15" t="s">
        <v>1057</v>
      </c>
      <c r="AR246" s="9">
        <v>3.2037515778850003</v>
      </c>
      <c r="AS246" s="15" t="s">
        <v>1057</v>
      </c>
      <c r="AT246" s="9">
        <v>1.0679171926283335</v>
      </c>
      <c r="AU246" s="64" t="s">
        <v>1057</v>
      </c>
      <c r="AV246" s="9">
        <v>4</v>
      </c>
      <c r="AW246" s="15" t="s">
        <v>52</v>
      </c>
      <c r="AX246" s="9">
        <v>96.495901708350019</v>
      </c>
      <c r="AY246" s="64" t="s">
        <v>52</v>
      </c>
      <c r="AZ246" s="9">
        <v>1.3785128815478573</v>
      </c>
      <c r="BA246" s="64" t="s">
        <v>1057</v>
      </c>
      <c r="BB246" s="64" t="s">
        <v>52</v>
      </c>
      <c r="BC246" s="9">
        <v>6.2261866259105867</v>
      </c>
      <c r="BD246" s="64" t="s">
        <v>1057</v>
      </c>
      <c r="BE246" s="291" t="s">
        <v>114</v>
      </c>
      <c r="BF246" s="9">
        <v>5.4692460581593956</v>
      </c>
      <c r="BG246" s="64" t="s">
        <v>1057</v>
      </c>
      <c r="BH246" s="74" t="s">
        <v>69</v>
      </c>
      <c r="BI246" s="9">
        <v>5.3799270437803068</v>
      </c>
      <c r="BJ246" s="15" t="s">
        <v>1057</v>
      </c>
      <c r="BK246" s="287" t="s">
        <v>203</v>
      </c>
      <c r="BL246" s="9">
        <v>5.0201308677990824</v>
      </c>
      <c r="BM246" s="15" t="s">
        <v>1057</v>
      </c>
      <c r="BN246" s="64" t="s">
        <v>1535</v>
      </c>
      <c r="BO246" s="9">
        <v>1.4613183494024775</v>
      </c>
    </row>
    <row r="247" spans="1:67" x14ac:dyDescent="0.45">
      <c r="A247" s="10">
        <v>226</v>
      </c>
      <c r="B247" s="10" t="s">
        <v>1056</v>
      </c>
      <c r="C247" s="287" t="s">
        <v>2135</v>
      </c>
      <c r="D247" s="290" t="s">
        <v>1992</v>
      </c>
      <c r="E247" s="56" t="s">
        <v>2025</v>
      </c>
      <c r="F247" s="58" t="s">
        <v>2270</v>
      </c>
      <c r="G247" s="80" t="s">
        <v>1892</v>
      </c>
      <c r="H247" s="10"/>
      <c r="I247" s="62">
        <v>128.81890163</v>
      </c>
      <c r="J247" s="62">
        <v>190.46230241000001</v>
      </c>
      <c r="K247" s="62">
        <v>140.67340178000001</v>
      </c>
      <c r="L247" s="49">
        <v>2108.5800913794892</v>
      </c>
      <c r="M247" s="49">
        <v>2283.8473586524751</v>
      </c>
      <c r="N247" s="49">
        <v>2434.4936861239821</v>
      </c>
      <c r="O247" s="61">
        <v>22.506365751040963</v>
      </c>
      <c r="P247" s="60"/>
      <c r="Q247" s="73" t="s">
        <v>214</v>
      </c>
      <c r="R247" s="9">
        <v>10.27496091736</v>
      </c>
      <c r="S247" s="16" t="s">
        <v>1505</v>
      </c>
      <c r="T247" s="9">
        <v>8.9791340977999994</v>
      </c>
      <c r="U247" s="72" t="s">
        <v>225</v>
      </c>
      <c r="V247" s="9">
        <v>12.727</v>
      </c>
      <c r="W247" s="291" t="s">
        <v>189</v>
      </c>
      <c r="X247" s="9">
        <v>58.968505733500002</v>
      </c>
      <c r="Y247" s="288" t="s">
        <v>1524</v>
      </c>
      <c r="Z247" s="9">
        <v>18.832159705315789</v>
      </c>
      <c r="AA247" s="16" t="s">
        <v>1505</v>
      </c>
      <c r="AB247" s="16" t="s">
        <v>203</v>
      </c>
      <c r="AC247" s="9">
        <v>13.073944346321131</v>
      </c>
      <c r="AD247" s="288" t="s">
        <v>214</v>
      </c>
      <c r="AE247" s="287" t="s">
        <v>203</v>
      </c>
      <c r="AF247" s="9">
        <v>12.929918787716483</v>
      </c>
      <c r="AG247" s="16" t="s">
        <v>1505</v>
      </c>
      <c r="AH247" s="73" t="s">
        <v>1524</v>
      </c>
      <c r="AI247" s="9">
        <v>12.828792998527797</v>
      </c>
      <c r="AJ247" s="16" t="s">
        <v>1505</v>
      </c>
      <c r="AK247" s="291" t="s">
        <v>189</v>
      </c>
      <c r="AL247" s="9">
        <v>12.767315861025825</v>
      </c>
      <c r="AM247" s="73" t="s">
        <v>214</v>
      </c>
      <c r="AN247" s="73" t="s">
        <v>1524</v>
      </c>
      <c r="AO247" s="9">
        <v>12.664176357458459</v>
      </c>
      <c r="AP247" s="60"/>
      <c r="AQ247" s="73" t="s">
        <v>214</v>
      </c>
      <c r="AR247" s="9">
        <v>9.0382994617120005</v>
      </c>
      <c r="AS247" s="73" t="s">
        <v>214</v>
      </c>
      <c r="AT247" s="9">
        <v>3.0127664872373336</v>
      </c>
      <c r="AU247" s="288" t="s">
        <v>2484</v>
      </c>
      <c r="AV247" s="9">
        <v>3.6666666666666998</v>
      </c>
      <c r="AW247" s="74" t="s">
        <v>189</v>
      </c>
      <c r="AX247" s="9">
        <v>76.359057453550008</v>
      </c>
      <c r="AY247" s="291" t="s">
        <v>189</v>
      </c>
      <c r="AZ247" s="9">
        <v>1.3883464991554546</v>
      </c>
      <c r="BA247" s="288" t="s">
        <v>214</v>
      </c>
      <c r="BB247" s="291" t="s">
        <v>189</v>
      </c>
      <c r="BC247" s="9">
        <v>7.5969096726318757</v>
      </c>
      <c r="BD247" s="287" t="s">
        <v>1505</v>
      </c>
      <c r="BE247" s="291" t="s">
        <v>189</v>
      </c>
      <c r="BF247" s="9">
        <v>7.4002559501811964</v>
      </c>
      <c r="BG247" s="288" t="s">
        <v>214</v>
      </c>
      <c r="BH247" s="16" t="s">
        <v>203</v>
      </c>
      <c r="BI247" s="9">
        <v>7.0247936477329453</v>
      </c>
      <c r="BJ247" s="73" t="s">
        <v>214</v>
      </c>
      <c r="BK247" s="288" t="s">
        <v>238</v>
      </c>
      <c r="BL247" s="9">
        <v>6.947561732421466</v>
      </c>
      <c r="BM247" s="16" t="s">
        <v>1505</v>
      </c>
      <c r="BN247" s="287" t="s">
        <v>203</v>
      </c>
      <c r="BO247" s="9">
        <v>6.8548488036653605</v>
      </c>
    </row>
    <row r="248" spans="1:67" x14ac:dyDescent="0.45">
      <c r="A248" s="10">
        <v>227</v>
      </c>
      <c r="B248" s="10" t="s">
        <v>230</v>
      </c>
      <c r="C248" s="287" t="s">
        <v>2156</v>
      </c>
      <c r="D248" s="65"/>
      <c r="E248" s="75" t="s">
        <v>2307</v>
      </c>
      <c r="F248" s="64" t="s">
        <v>2308</v>
      </c>
      <c r="G248" s="63" t="s">
        <v>2309</v>
      </c>
      <c r="H248" s="10"/>
      <c r="I248" s="62">
        <v>128.81890163</v>
      </c>
      <c r="J248" s="62">
        <v>190.46230241000001</v>
      </c>
      <c r="K248" s="62">
        <v>140.67340178000001</v>
      </c>
      <c r="L248" s="49">
        <v>2108.5800913794892</v>
      </c>
      <c r="M248" s="49">
        <v>2283.8473586524751</v>
      </c>
      <c r="N248" s="49">
        <v>2434.4936861239821</v>
      </c>
      <c r="O248" s="61">
        <v>22.506365751040963</v>
      </c>
      <c r="P248" s="60"/>
      <c r="Q248" s="16" t="s">
        <v>158</v>
      </c>
      <c r="R248" s="9">
        <v>11.82078773692</v>
      </c>
      <c r="S248" s="53" t="s">
        <v>185</v>
      </c>
      <c r="T248" s="9">
        <v>11.877559384474999</v>
      </c>
      <c r="U248" s="16" t="s">
        <v>158</v>
      </c>
      <c r="V248" s="9">
        <v>8.33</v>
      </c>
      <c r="W248" s="59" t="s">
        <v>180</v>
      </c>
      <c r="X248" s="9">
        <v>78.291340977999994</v>
      </c>
      <c r="Y248" s="287" t="s">
        <v>1517</v>
      </c>
      <c r="Z248" s="9">
        <v>35.281103440099997</v>
      </c>
      <c r="AA248" s="53" t="s">
        <v>185</v>
      </c>
      <c r="AB248" s="16" t="s">
        <v>229</v>
      </c>
      <c r="AC248" s="9">
        <v>16.386554078334616</v>
      </c>
      <c r="AD248" s="287" t="s">
        <v>158</v>
      </c>
      <c r="AE248" s="287" t="s">
        <v>229</v>
      </c>
      <c r="AF248" s="9">
        <v>15.242126433374999</v>
      </c>
      <c r="AG248" s="53" t="s">
        <v>185</v>
      </c>
      <c r="AH248" s="16" t="s">
        <v>1517</v>
      </c>
      <c r="AI248" s="9">
        <v>14.878013750580767</v>
      </c>
      <c r="AJ248" s="53" t="s">
        <v>185</v>
      </c>
      <c r="AK248" s="59" t="s">
        <v>180</v>
      </c>
      <c r="AL248" s="9">
        <v>14.713260650727605</v>
      </c>
      <c r="AM248" s="16" t="s">
        <v>158</v>
      </c>
      <c r="AN248" s="16" t="s">
        <v>1517</v>
      </c>
      <c r="AO248" s="9">
        <v>13.483577446385713</v>
      </c>
      <c r="AP248" s="60"/>
      <c r="AQ248" s="16" t="s">
        <v>158</v>
      </c>
      <c r="AR248" s="9">
        <v>10.043086894426001</v>
      </c>
      <c r="AS248" s="53" t="s">
        <v>185</v>
      </c>
      <c r="AT248" s="9">
        <v>4.0167560144990002</v>
      </c>
      <c r="AU248" s="287" t="s">
        <v>158</v>
      </c>
      <c r="AV248" s="9">
        <v>3</v>
      </c>
      <c r="AW248" s="53" t="s">
        <v>180</v>
      </c>
      <c r="AX248" s="9">
        <v>111.52661759854</v>
      </c>
      <c r="AY248" s="287" t="s">
        <v>229</v>
      </c>
      <c r="AZ248" s="9">
        <v>1.8085109914915556</v>
      </c>
      <c r="BA248" s="287" t="s">
        <v>158</v>
      </c>
      <c r="BB248" s="287" t="s">
        <v>229</v>
      </c>
      <c r="BC248" s="9">
        <v>8.2249018180781253</v>
      </c>
      <c r="BD248" s="287" t="s">
        <v>158</v>
      </c>
      <c r="BE248" s="59" t="s">
        <v>180</v>
      </c>
      <c r="BF248" s="9">
        <v>8.1202951300223045</v>
      </c>
      <c r="BG248" s="59" t="s">
        <v>185</v>
      </c>
      <c r="BH248" s="16" t="s">
        <v>229</v>
      </c>
      <c r="BI248" s="9">
        <v>8.0886633093737892</v>
      </c>
      <c r="BJ248" s="53" t="s">
        <v>185</v>
      </c>
      <c r="BK248" s="59" t="s">
        <v>180</v>
      </c>
      <c r="BL248" s="9">
        <v>7.9986027398338519</v>
      </c>
      <c r="BM248" s="16" t="s">
        <v>158</v>
      </c>
      <c r="BN248" s="287" t="s">
        <v>1517</v>
      </c>
      <c r="BO248" s="9">
        <v>7.903721837309023</v>
      </c>
    </row>
    <row r="249" spans="1:67" x14ac:dyDescent="0.45">
      <c r="A249" s="10">
        <v>228</v>
      </c>
      <c r="B249" s="10" t="s">
        <v>1052</v>
      </c>
      <c r="C249" s="75" t="s">
        <v>2157</v>
      </c>
      <c r="D249" s="65"/>
      <c r="E249" s="58" t="s">
        <v>2310</v>
      </c>
      <c r="F249" s="77" t="s">
        <v>2311</v>
      </c>
      <c r="G249" s="242" t="s">
        <v>1925</v>
      </c>
      <c r="H249" s="10"/>
      <c r="I249" s="62">
        <v>131.98010167000001</v>
      </c>
      <c r="J249" s="62">
        <v>77.449400980000007</v>
      </c>
      <c r="K249" s="62">
        <v>113.01290143000001</v>
      </c>
      <c r="L249" s="49">
        <v>1234.7570161554581</v>
      </c>
      <c r="M249" s="49">
        <v>1100.9553285056581</v>
      </c>
      <c r="N249" s="49">
        <v>1004.4313373651264</v>
      </c>
      <c r="O249" s="61">
        <v>8.1236125898851004</v>
      </c>
      <c r="P249" s="60"/>
      <c r="Q249" s="67" t="s">
        <v>2409</v>
      </c>
      <c r="R249" s="9">
        <v>8.9188061002000012</v>
      </c>
      <c r="S249" s="67" t="s">
        <v>14</v>
      </c>
      <c r="T249" s="9">
        <v>9.9097845557777795</v>
      </c>
      <c r="U249" s="67" t="s">
        <v>2409</v>
      </c>
      <c r="V249" s="9">
        <v>10</v>
      </c>
      <c r="W249" s="76" t="s">
        <v>160</v>
      </c>
      <c r="X249" s="9">
        <v>64.35044880160001</v>
      </c>
      <c r="Y249" s="64" t="s">
        <v>52</v>
      </c>
      <c r="Z249" s="9">
        <v>34.423596846071433</v>
      </c>
      <c r="AA249" s="67" t="s">
        <v>14</v>
      </c>
      <c r="AB249" s="70" t="s">
        <v>76</v>
      </c>
      <c r="AC249" s="9">
        <v>14.719522983373457</v>
      </c>
      <c r="AD249" s="76" t="s">
        <v>14</v>
      </c>
      <c r="AE249" s="76" t="s">
        <v>160</v>
      </c>
      <c r="AF249" s="9">
        <v>14.237421447561113</v>
      </c>
      <c r="AG249" s="67" t="s">
        <v>14</v>
      </c>
      <c r="AH249" s="15" t="s">
        <v>52</v>
      </c>
      <c r="AI249" s="9">
        <v>14.164247845828742</v>
      </c>
      <c r="AJ249" s="70" t="s">
        <v>138</v>
      </c>
      <c r="AK249" s="75" t="s">
        <v>76</v>
      </c>
      <c r="AL249" s="9">
        <v>14.031343500333335</v>
      </c>
      <c r="AM249" s="67" t="s">
        <v>14</v>
      </c>
      <c r="AN249" s="67" t="s">
        <v>91</v>
      </c>
      <c r="AO249" s="9">
        <v>13.693508860304989</v>
      </c>
      <c r="AP249" s="60"/>
      <c r="AQ249" s="67" t="s">
        <v>2409</v>
      </c>
      <c r="AR249" s="9">
        <v>7.1766687581560005</v>
      </c>
      <c r="AS249" s="67" t="s">
        <v>2409</v>
      </c>
      <c r="AT249" s="9">
        <v>3.5883343790780002</v>
      </c>
      <c r="AU249" s="76" t="s">
        <v>2485</v>
      </c>
      <c r="AV249" s="9">
        <v>3</v>
      </c>
      <c r="AW249" s="15" t="s">
        <v>52</v>
      </c>
      <c r="AX249" s="9">
        <v>112.52318591115001</v>
      </c>
      <c r="AY249" s="75" t="s">
        <v>76</v>
      </c>
      <c r="AZ249" s="9">
        <v>1.7027278431334547</v>
      </c>
      <c r="BA249" s="76" t="s">
        <v>14</v>
      </c>
      <c r="BB249" s="75" t="s">
        <v>76</v>
      </c>
      <c r="BC249" s="9">
        <v>8.2466980166605186</v>
      </c>
      <c r="BD249" s="75" t="s">
        <v>138</v>
      </c>
      <c r="BE249" s="75" t="s">
        <v>76</v>
      </c>
      <c r="BF249" s="9">
        <v>8.2466980166605186</v>
      </c>
      <c r="BG249" s="76" t="s">
        <v>14</v>
      </c>
      <c r="BH249" s="67" t="s">
        <v>160</v>
      </c>
      <c r="BI249" s="9">
        <v>8.1034616845309433</v>
      </c>
      <c r="BJ249" s="70" t="s">
        <v>138</v>
      </c>
      <c r="BK249" s="76" t="s">
        <v>160</v>
      </c>
      <c r="BL249" s="9">
        <v>8.1034616845309433</v>
      </c>
      <c r="BM249" s="67" t="s">
        <v>14</v>
      </c>
      <c r="BN249" s="64" t="s">
        <v>52</v>
      </c>
      <c r="BO249" s="9">
        <v>8.0651090995741104</v>
      </c>
    </row>
    <row r="250" spans="1:67" x14ac:dyDescent="0.45">
      <c r="A250" s="10">
        <v>229</v>
      </c>
      <c r="B250" s="10" t="s">
        <v>148</v>
      </c>
      <c r="C250" s="75" t="s">
        <v>2157</v>
      </c>
      <c r="D250" s="65"/>
      <c r="E250" s="58" t="s">
        <v>2310</v>
      </c>
      <c r="F250" s="77" t="s">
        <v>2311</v>
      </c>
      <c r="G250" s="242" t="s">
        <v>1925</v>
      </c>
      <c r="H250" s="10"/>
      <c r="I250" s="62">
        <v>188.88170239000002</v>
      </c>
      <c r="J250" s="62">
        <v>125.65770159</v>
      </c>
      <c r="K250" s="62">
        <v>154.89880196000001</v>
      </c>
      <c r="L250" s="49">
        <v>2635.1690049701438</v>
      </c>
      <c r="M250" s="49">
        <v>2382.0527391198007</v>
      </c>
      <c r="N250" s="49">
        <v>2197.1802763407404</v>
      </c>
      <c r="O250" s="61">
        <v>17.291426519664743</v>
      </c>
      <c r="P250" s="60"/>
      <c r="Q250" s="67" t="s">
        <v>2410</v>
      </c>
      <c r="R250" s="9">
        <v>14.599482572080001</v>
      </c>
      <c r="S250" s="70" t="s">
        <v>1512</v>
      </c>
      <c r="T250" s="9">
        <v>16.221647302311112</v>
      </c>
      <c r="U250" s="67" t="s">
        <v>20</v>
      </c>
      <c r="V250" s="9">
        <v>12.727</v>
      </c>
      <c r="W250" s="75" t="s">
        <v>19</v>
      </c>
      <c r="X250" s="9">
        <v>159.66063000760002</v>
      </c>
      <c r="Y250" s="64" t="s">
        <v>52</v>
      </c>
      <c r="Z250" s="9">
        <v>48.648997026071434</v>
      </c>
      <c r="AA250" s="70" t="s">
        <v>1512</v>
      </c>
      <c r="AB250" s="67" t="s">
        <v>30</v>
      </c>
      <c r="AC250" s="9">
        <v>22.501912272695087</v>
      </c>
      <c r="AD250" s="76" t="s">
        <v>20</v>
      </c>
      <c r="AE250" s="76" t="s">
        <v>30</v>
      </c>
      <c r="AF250" s="9">
        <v>22.344560706713256</v>
      </c>
      <c r="AG250" s="70" t="s">
        <v>1512</v>
      </c>
      <c r="AH250" s="70" t="s">
        <v>19</v>
      </c>
      <c r="AI250" s="9">
        <v>21.978232921046544</v>
      </c>
      <c r="AJ250" s="70" t="s">
        <v>1512</v>
      </c>
      <c r="AK250" s="75" t="s">
        <v>76</v>
      </c>
      <c r="AL250" s="9">
        <v>21.926783524511187</v>
      </c>
      <c r="AM250" s="67" t="s">
        <v>20</v>
      </c>
      <c r="AN250" s="70" t="s">
        <v>76</v>
      </c>
      <c r="AO250" s="9">
        <v>21.61536758341725</v>
      </c>
      <c r="AP250" s="60"/>
      <c r="AQ250" s="70" t="s">
        <v>1512</v>
      </c>
      <c r="AR250" s="9">
        <v>12.786218229136001</v>
      </c>
      <c r="AS250" s="70" t="s">
        <v>1512</v>
      </c>
      <c r="AT250" s="9">
        <v>6.3931091145680004</v>
      </c>
      <c r="AU250" s="76" t="s">
        <v>20</v>
      </c>
      <c r="AV250" s="9">
        <v>4.3333333333333002</v>
      </c>
      <c r="AW250" s="70" t="s">
        <v>19</v>
      </c>
      <c r="AX250" s="9">
        <v>207.25881900988003</v>
      </c>
      <c r="AY250" s="75" t="s">
        <v>19</v>
      </c>
      <c r="AZ250" s="9">
        <v>2.5907352376235004</v>
      </c>
      <c r="BA250" s="76" t="s">
        <v>20</v>
      </c>
      <c r="BB250" s="75" t="s">
        <v>19</v>
      </c>
      <c r="BC250" s="9">
        <v>13.295160310613596</v>
      </c>
      <c r="BD250" s="75" t="s">
        <v>1512</v>
      </c>
      <c r="BE250" s="75" t="s">
        <v>19</v>
      </c>
      <c r="BF250" s="9">
        <v>12.479948808365334</v>
      </c>
      <c r="BG250" s="76" t="s">
        <v>20</v>
      </c>
      <c r="BH250" s="70" t="s">
        <v>76</v>
      </c>
      <c r="BI250" s="9">
        <v>12.342054312571292</v>
      </c>
      <c r="BJ250" s="67" t="s">
        <v>20</v>
      </c>
      <c r="BK250" s="64" t="s">
        <v>52</v>
      </c>
      <c r="BL250" s="9">
        <v>11.988845507976908</v>
      </c>
      <c r="BM250" s="70" t="s">
        <v>1512</v>
      </c>
      <c r="BN250" s="75" t="s">
        <v>76</v>
      </c>
      <c r="BO250" s="9">
        <v>11.923624156446783</v>
      </c>
    </row>
    <row r="251" spans="1:67" x14ac:dyDescent="0.45">
      <c r="A251" s="10">
        <v>230</v>
      </c>
      <c r="B251" s="10" t="s">
        <v>1049</v>
      </c>
      <c r="C251" s="288" t="s">
        <v>2158</v>
      </c>
      <c r="D251" s="65"/>
      <c r="E251" s="78" t="s">
        <v>2312</v>
      </c>
      <c r="F251" s="59" t="s">
        <v>1886</v>
      </c>
      <c r="G251" s="75" t="s">
        <v>2313</v>
      </c>
      <c r="H251" s="10"/>
      <c r="I251" s="62">
        <v>165.17270209</v>
      </c>
      <c r="J251" s="62">
        <v>165.17270209</v>
      </c>
      <c r="K251" s="62">
        <v>154.89880196000001</v>
      </c>
      <c r="L251" s="49">
        <v>2641.9916440292714</v>
      </c>
      <c r="M251" s="49">
        <v>2613.8645007914283</v>
      </c>
      <c r="N251" s="49">
        <v>2591.578541476973</v>
      </c>
      <c r="O251" s="61">
        <v>21.958164334217948</v>
      </c>
      <c r="P251" s="60"/>
      <c r="Q251" s="73" t="s">
        <v>206</v>
      </c>
      <c r="R251" s="9">
        <v>16.856579400640001</v>
      </c>
      <c r="S251" s="73" t="s">
        <v>206</v>
      </c>
      <c r="T251" s="9">
        <v>14.047149500533335</v>
      </c>
      <c r="U251" s="73" t="s">
        <v>121</v>
      </c>
      <c r="V251" s="9">
        <v>10</v>
      </c>
      <c r="W251" s="288" t="s">
        <v>197</v>
      </c>
      <c r="X251" s="9">
        <v>129.8347076302</v>
      </c>
      <c r="Y251" s="288" t="s">
        <v>197</v>
      </c>
      <c r="Z251" s="9">
        <v>39.343850797030306</v>
      </c>
      <c r="AA251" s="66" t="s">
        <v>254</v>
      </c>
      <c r="AB251" s="66" t="s">
        <v>175</v>
      </c>
      <c r="AC251" s="9">
        <v>19.393270868955664</v>
      </c>
      <c r="AD251" s="78" t="s">
        <v>254</v>
      </c>
      <c r="AE251" s="288" t="s">
        <v>197</v>
      </c>
      <c r="AF251" s="9">
        <v>19.208236677924049</v>
      </c>
      <c r="AG251" s="73" t="s">
        <v>121</v>
      </c>
      <c r="AH251" s="66" t="s">
        <v>175</v>
      </c>
      <c r="AI251" s="9">
        <v>19.052336405213481</v>
      </c>
      <c r="AJ251" s="73" t="s">
        <v>206</v>
      </c>
      <c r="AK251" s="78" t="s">
        <v>175</v>
      </c>
      <c r="AL251" s="9">
        <v>18.891895143280703</v>
      </c>
      <c r="AM251" s="73" t="s">
        <v>121</v>
      </c>
      <c r="AN251" s="73" t="s">
        <v>197</v>
      </c>
      <c r="AO251" s="9">
        <v>18.717167585278194</v>
      </c>
      <c r="AP251" s="60"/>
      <c r="AQ251" s="73" t="s">
        <v>206</v>
      </c>
      <c r="AR251" s="9">
        <v>16.460164915624002</v>
      </c>
      <c r="AS251" s="66" t="s">
        <v>254</v>
      </c>
      <c r="AT251" s="9">
        <v>6.1533883052079998</v>
      </c>
      <c r="AU251" s="78" t="s">
        <v>3461</v>
      </c>
      <c r="AV251" s="9">
        <v>3</v>
      </c>
      <c r="AW251" s="73" t="s">
        <v>197</v>
      </c>
      <c r="AX251" s="9">
        <v>168.48511991926</v>
      </c>
      <c r="AY251" s="78" t="s">
        <v>175</v>
      </c>
      <c r="AZ251" s="9">
        <v>2.3786363065536666</v>
      </c>
      <c r="BA251" s="78" t="s">
        <v>254</v>
      </c>
      <c r="BB251" s="78" t="s">
        <v>175</v>
      </c>
      <c r="BC251" s="9">
        <v>12.656473547494286</v>
      </c>
      <c r="BD251" s="78" t="s">
        <v>254</v>
      </c>
      <c r="BE251" s="288" t="s">
        <v>197</v>
      </c>
      <c r="BF251" s="9">
        <v>12.396916444209999</v>
      </c>
      <c r="BG251" s="288" t="s">
        <v>121</v>
      </c>
      <c r="BH251" s="66" t="s">
        <v>175</v>
      </c>
      <c r="BI251" s="9">
        <v>11.429476331968571</v>
      </c>
      <c r="BJ251" s="73" t="s">
        <v>206</v>
      </c>
      <c r="BK251" s="78" t="s">
        <v>175</v>
      </c>
      <c r="BL251" s="9">
        <v>11.326358096187233</v>
      </c>
      <c r="BM251" s="66" t="s">
        <v>254</v>
      </c>
      <c r="BN251" s="291" t="s">
        <v>132</v>
      </c>
      <c r="BO251" s="9">
        <v>11.323293880625</v>
      </c>
    </row>
    <row r="252" spans="1:67" x14ac:dyDescent="0.45">
      <c r="A252" s="10">
        <v>231</v>
      </c>
      <c r="B252" s="10" t="s">
        <v>1047</v>
      </c>
      <c r="C252" s="80" t="s">
        <v>1892</v>
      </c>
      <c r="D252" s="65"/>
      <c r="E252" s="288" t="s">
        <v>2214</v>
      </c>
      <c r="F252" s="63" t="s">
        <v>2215</v>
      </c>
      <c r="G252" s="290" t="s">
        <v>1992</v>
      </c>
      <c r="H252" s="10"/>
      <c r="I252" s="62">
        <v>96.416601220000004</v>
      </c>
      <c r="J252" s="62">
        <v>89.30390113</v>
      </c>
      <c r="K252" s="62">
        <v>175.44660222000002</v>
      </c>
      <c r="L252" s="49">
        <v>1206.8672840059385</v>
      </c>
      <c r="M252" s="49">
        <v>1316.5725842170082</v>
      </c>
      <c r="N252" s="49">
        <v>1411.4745162155612</v>
      </c>
      <c r="O252" s="61">
        <v>14.38355816223177</v>
      </c>
      <c r="P252" s="60"/>
      <c r="Q252" s="55" t="s">
        <v>53</v>
      </c>
      <c r="R252" s="9">
        <v>8.2312450914999999</v>
      </c>
      <c r="S252" s="15" t="s">
        <v>127</v>
      </c>
      <c r="T252" s="9">
        <v>6.8208300610000006</v>
      </c>
      <c r="U252" s="15" t="s">
        <v>127</v>
      </c>
      <c r="V252" s="9">
        <v>10</v>
      </c>
      <c r="W252" s="80" t="s">
        <v>1504</v>
      </c>
      <c r="X252" s="9">
        <v>47.279968585600002</v>
      </c>
      <c r="Y252" s="56" t="s">
        <v>40</v>
      </c>
      <c r="Z252" s="9">
        <v>14.654311291851853</v>
      </c>
      <c r="AA252" s="15" t="s">
        <v>127</v>
      </c>
      <c r="AB252" s="71" t="s">
        <v>1504</v>
      </c>
      <c r="AC252" s="9">
        <v>9.5746022224235308</v>
      </c>
      <c r="AD252" s="64" t="s">
        <v>127</v>
      </c>
      <c r="AE252" s="56" t="s">
        <v>40</v>
      </c>
      <c r="AF252" s="9">
        <v>9.567635167922079</v>
      </c>
      <c r="AG252" s="15" t="s">
        <v>127</v>
      </c>
      <c r="AH252" s="15" t="s">
        <v>1480</v>
      </c>
      <c r="AI252" s="9">
        <v>9.141449141719745</v>
      </c>
      <c r="AJ252" s="55" t="s">
        <v>53</v>
      </c>
      <c r="AK252" s="80" t="s">
        <v>1504</v>
      </c>
      <c r="AL252" s="9">
        <v>8.8436194043100009</v>
      </c>
      <c r="AM252" s="55" t="s">
        <v>53</v>
      </c>
      <c r="AN252" s="52" t="s">
        <v>40</v>
      </c>
      <c r="AO252" s="9">
        <v>8.7742245592934776</v>
      </c>
      <c r="AP252" s="60"/>
      <c r="AQ252" s="55" t="s">
        <v>53</v>
      </c>
      <c r="AR252" s="9">
        <v>6.64037117137</v>
      </c>
      <c r="AS252" s="15" t="s">
        <v>127</v>
      </c>
      <c r="AT252" s="9">
        <v>2.8801237237900001</v>
      </c>
      <c r="AU252" s="58" t="s">
        <v>53</v>
      </c>
      <c r="AV252" s="9">
        <v>2.3333333333333002</v>
      </c>
      <c r="AW252" s="71" t="s">
        <v>1504</v>
      </c>
      <c r="AX252" s="9">
        <v>61.163959161280005</v>
      </c>
      <c r="AY252" s="56" t="s">
        <v>40</v>
      </c>
      <c r="AZ252" s="9">
        <v>1.1363696140977777</v>
      </c>
      <c r="BA252" s="64" t="s">
        <v>127</v>
      </c>
      <c r="BB252" s="56" t="s">
        <v>40</v>
      </c>
      <c r="BC252" s="9">
        <v>4.9335921880712768</v>
      </c>
      <c r="BD252" s="64" t="s">
        <v>127</v>
      </c>
      <c r="BE252" s="64" t="s">
        <v>1480</v>
      </c>
      <c r="BF252" s="9">
        <v>4.8110616022770269</v>
      </c>
      <c r="BG252" s="64" t="s">
        <v>127</v>
      </c>
      <c r="BH252" s="71" t="s">
        <v>1504</v>
      </c>
      <c r="BI252" s="9">
        <v>4.7602474475800003</v>
      </c>
      <c r="BJ252" s="55" t="s">
        <v>53</v>
      </c>
      <c r="BK252" s="56" t="s">
        <v>40</v>
      </c>
      <c r="BL252" s="9">
        <v>4.6251628954397885</v>
      </c>
      <c r="BM252" s="55" t="s">
        <v>53</v>
      </c>
      <c r="BN252" s="64" t="s">
        <v>1480</v>
      </c>
      <c r="BO252" s="9">
        <v>4.4877706457906248</v>
      </c>
    </row>
    <row r="253" spans="1:67" x14ac:dyDescent="0.45">
      <c r="A253" s="10">
        <v>232</v>
      </c>
      <c r="B253" s="10" t="s">
        <v>220</v>
      </c>
      <c r="C253" s="80" t="s">
        <v>1892</v>
      </c>
      <c r="D253" s="65"/>
      <c r="E253" s="288" t="s">
        <v>2214</v>
      </c>
      <c r="F253" s="63" t="s">
        <v>2215</v>
      </c>
      <c r="G253" s="290" t="s">
        <v>1992</v>
      </c>
      <c r="H253" s="10"/>
      <c r="I253" s="62">
        <v>180.97870229</v>
      </c>
      <c r="J253" s="62">
        <v>158.060002</v>
      </c>
      <c r="K253" s="62">
        <v>175.44660222000002</v>
      </c>
      <c r="L253" s="49">
        <v>3013.7758069704901</v>
      </c>
      <c r="M253" s="49">
        <v>2931.318056282279</v>
      </c>
      <c r="N253" s="49">
        <v>2866.9792115872806</v>
      </c>
      <c r="O253" s="61">
        <v>23.946160172956571</v>
      </c>
      <c r="P253" s="60"/>
      <c r="Q253" s="71" t="s">
        <v>80</v>
      </c>
      <c r="R253" s="9">
        <v>20.545699847319998</v>
      </c>
      <c r="S253" s="71" t="s">
        <v>80</v>
      </c>
      <c r="T253" s="9">
        <v>14.675499890942858</v>
      </c>
      <c r="U253" s="15" t="s">
        <v>127</v>
      </c>
      <c r="V253" s="9">
        <v>10</v>
      </c>
      <c r="W253" s="80" t="s">
        <v>79</v>
      </c>
      <c r="X253" s="9">
        <v>153.0221099236</v>
      </c>
      <c r="Y253" s="80" t="s">
        <v>79</v>
      </c>
      <c r="Z253" s="9">
        <v>42.506141645444444</v>
      </c>
      <c r="AA253" s="71" t="s">
        <v>80</v>
      </c>
      <c r="AB253" s="71" t="s">
        <v>79</v>
      </c>
      <c r="AC253" s="9">
        <v>20.860086947498765</v>
      </c>
      <c r="AD253" s="58" t="s">
        <v>45</v>
      </c>
      <c r="AE253" s="80" t="s">
        <v>79</v>
      </c>
      <c r="AF253" s="9">
        <v>20.077483510444445</v>
      </c>
      <c r="AG253" s="15" t="s">
        <v>127</v>
      </c>
      <c r="AH253" s="71" t="s">
        <v>79</v>
      </c>
      <c r="AI253" s="9">
        <v>19.375842725632353</v>
      </c>
      <c r="AJ253" s="71" t="s">
        <v>80</v>
      </c>
      <c r="AK253" s="65" t="s">
        <v>84</v>
      </c>
      <c r="AL253" s="9">
        <v>19.242080006984736</v>
      </c>
      <c r="AM253" s="71" t="s">
        <v>80</v>
      </c>
      <c r="AN253" s="53" t="s">
        <v>0</v>
      </c>
      <c r="AO253" s="9">
        <v>18.901213676302522</v>
      </c>
      <c r="AP253" s="60"/>
      <c r="AQ253" s="14" t="s">
        <v>161</v>
      </c>
      <c r="AR253" s="9">
        <v>19.821785038160002</v>
      </c>
      <c r="AS253" s="14" t="s">
        <v>161</v>
      </c>
      <c r="AT253" s="9">
        <v>6.6072616793866672</v>
      </c>
      <c r="AU253" s="58" t="s">
        <v>45</v>
      </c>
      <c r="AV253" s="9">
        <v>3.5</v>
      </c>
      <c r="AW253" s="71" t="s">
        <v>79</v>
      </c>
      <c r="AX253" s="9">
        <v>170.39606534344</v>
      </c>
      <c r="AY253" s="80" t="s">
        <v>79</v>
      </c>
      <c r="AZ253" s="9">
        <v>2.6214779283606156</v>
      </c>
      <c r="BA253" s="58" t="s">
        <v>45</v>
      </c>
      <c r="BB253" s="80" t="s">
        <v>79</v>
      </c>
      <c r="BC253" s="9">
        <v>13.645842855067736</v>
      </c>
      <c r="BD253" s="80" t="s">
        <v>80</v>
      </c>
      <c r="BE253" s="80" t="s">
        <v>79</v>
      </c>
      <c r="BF253" s="9">
        <v>12.007323869058373</v>
      </c>
      <c r="BG253" s="65" t="s">
        <v>161</v>
      </c>
      <c r="BH253" s="71" t="s">
        <v>79</v>
      </c>
      <c r="BI253" s="9">
        <v>11.496479699209155</v>
      </c>
      <c r="BJ253" s="55" t="s">
        <v>45</v>
      </c>
      <c r="BK253" s="65" t="s">
        <v>84</v>
      </c>
      <c r="BL253" s="9">
        <v>10.809144386002757</v>
      </c>
      <c r="BM253" s="55" t="s">
        <v>45</v>
      </c>
      <c r="BN253" s="59" t="s">
        <v>0</v>
      </c>
      <c r="BO253" s="9">
        <v>10.317399932221029</v>
      </c>
    </row>
    <row r="254" spans="1:67" x14ac:dyDescent="0.45">
      <c r="A254" s="10">
        <v>233</v>
      </c>
      <c r="B254" s="10" t="s">
        <v>165</v>
      </c>
      <c r="C254" s="64" t="s">
        <v>1889</v>
      </c>
      <c r="D254" s="65"/>
      <c r="E254" s="58" t="s">
        <v>1903</v>
      </c>
      <c r="F254" s="77"/>
      <c r="G254" s="77" t="s">
        <v>1888</v>
      </c>
      <c r="H254" s="10"/>
      <c r="I254" s="62">
        <v>168.33390213000001</v>
      </c>
      <c r="J254" s="62">
        <v>154.10850195</v>
      </c>
      <c r="K254" s="62">
        <v>168.33390213000001</v>
      </c>
      <c r="L254" s="49">
        <v>2711.2569963227161</v>
      </c>
      <c r="M254" s="49">
        <v>2671.6517901108605</v>
      </c>
      <c r="N254" s="49">
        <v>2640.3845818466034</v>
      </c>
      <c r="O254" s="61">
        <v>22.47768337276845</v>
      </c>
      <c r="P254" s="60"/>
      <c r="Q254" s="71" t="s">
        <v>2808</v>
      </c>
      <c r="R254" s="9">
        <v>13.625042659750001</v>
      </c>
      <c r="S254" s="71" t="s">
        <v>2808</v>
      </c>
      <c r="T254" s="9">
        <v>9.0833617731666667</v>
      </c>
      <c r="U254" s="15" t="s">
        <v>1553</v>
      </c>
      <c r="V254" s="9">
        <v>20</v>
      </c>
      <c r="W254" s="79" t="s">
        <v>2411</v>
      </c>
      <c r="X254" s="9">
        <v>152.50051191700001</v>
      </c>
      <c r="Y254" s="64" t="s">
        <v>52</v>
      </c>
      <c r="Z254" s="9">
        <v>51.928742067571434</v>
      </c>
      <c r="AA254" s="15" t="s">
        <v>1553</v>
      </c>
      <c r="AB254" s="15" t="s">
        <v>112</v>
      </c>
      <c r="AC254" s="9">
        <v>20.974221340928089</v>
      </c>
      <c r="AD254" s="64" t="s">
        <v>1553</v>
      </c>
      <c r="AE254" s="64" t="s">
        <v>52</v>
      </c>
      <c r="AF254" s="9">
        <v>20.077523270643194</v>
      </c>
      <c r="AG254" s="15" t="s">
        <v>1553</v>
      </c>
      <c r="AH254" s="72" t="s">
        <v>9</v>
      </c>
      <c r="AI254" s="9">
        <v>18.667056993426002</v>
      </c>
      <c r="AJ254" s="51" t="s">
        <v>74</v>
      </c>
      <c r="AK254" s="64" t="s">
        <v>112</v>
      </c>
      <c r="AL254" s="9">
        <v>17.968174305513045</v>
      </c>
      <c r="AM254" s="15" t="s">
        <v>1553</v>
      </c>
      <c r="AN254" s="51" t="s">
        <v>1483</v>
      </c>
      <c r="AO254" s="9">
        <v>17.386794262302274</v>
      </c>
      <c r="AP254" s="60"/>
      <c r="AQ254" s="71" t="s">
        <v>2808</v>
      </c>
      <c r="AR254" s="9">
        <v>10.847533274605</v>
      </c>
      <c r="AS254" s="71" t="s">
        <v>2808</v>
      </c>
      <c r="AT254" s="9">
        <v>3.6158444248683335</v>
      </c>
      <c r="AU254" s="64" t="s">
        <v>1553</v>
      </c>
      <c r="AV254" s="9">
        <v>5</v>
      </c>
      <c r="AW254" s="15" t="s">
        <v>112</v>
      </c>
      <c r="AX254" s="9">
        <v>197.95066549210003</v>
      </c>
      <c r="AY254" s="64" t="s">
        <v>112</v>
      </c>
      <c r="AZ254" s="9">
        <v>2.4743833186512503</v>
      </c>
      <c r="BA254" s="64" t="s">
        <v>1553</v>
      </c>
      <c r="BB254" s="64" t="s">
        <v>112</v>
      </c>
      <c r="BC254" s="9">
        <v>13.821102145760237</v>
      </c>
      <c r="BD254" s="64" t="s">
        <v>1553</v>
      </c>
      <c r="BE254" s="64" t="s">
        <v>52</v>
      </c>
      <c r="BF254" s="9">
        <v>13.604842591494402</v>
      </c>
      <c r="BG254" s="64" t="s">
        <v>1553</v>
      </c>
      <c r="BH254" s="72" t="s">
        <v>9</v>
      </c>
      <c r="BI254" s="9">
        <v>11.890213268386708</v>
      </c>
      <c r="BJ254" s="15" t="s">
        <v>1553</v>
      </c>
      <c r="BK254" s="290" t="s">
        <v>1483</v>
      </c>
      <c r="BL254" s="9">
        <v>11.890213268386708</v>
      </c>
      <c r="BM254" s="51" t="s">
        <v>74</v>
      </c>
      <c r="BN254" s="64" t="s">
        <v>112</v>
      </c>
      <c r="BO254" s="9">
        <v>10.7375516571757</v>
      </c>
    </row>
    <row r="255" spans="1:67" x14ac:dyDescent="0.45">
      <c r="A255" s="10">
        <v>234</v>
      </c>
      <c r="B255" s="10" t="s">
        <v>96</v>
      </c>
      <c r="C255" s="64" t="s">
        <v>1889</v>
      </c>
      <c r="D255" s="65"/>
      <c r="E255" s="58" t="s">
        <v>1903</v>
      </c>
      <c r="F255" s="77"/>
      <c r="G255" s="77" t="s">
        <v>1888</v>
      </c>
      <c r="H255" s="10"/>
      <c r="I255" s="62">
        <v>163.59210207000001</v>
      </c>
      <c r="J255" s="62">
        <v>115.38380146</v>
      </c>
      <c r="K255" s="62">
        <v>151.73760192</v>
      </c>
      <c r="L255" s="49">
        <v>2164.6184836908897</v>
      </c>
      <c r="M255" s="49">
        <v>2016.819018979555</v>
      </c>
      <c r="N255" s="49">
        <v>1905.8792450999233</v>
      </c>
      <c r="O255" s="61">
        <v>15.696894029693036</v>
      </c>
      <c r="P255" s="60"/>
      <c r="Q255" s="57" t="s">
        <v>95</v>
      </c>
      <c r="R255" s="9">
        <v>10.8155261242</v>
      </c>
      <c r="S255" s="15" t="s">
        <v>127</v>
      </c>
      <c r="T255" s="9">
        <v>11.8155261242</v>
      </c>
      <c r="U255" s="15" t="s">
        <v>127</v>
      </c>
      <c r="V255" s="9">
        <v>10</v>
      </c>
      <c r="W255" s="289" t="s">
        <v>2412</v>
      </c>
      <c r="X255" s="9">
        <v>74.61644593150001</v>
      </c>
      <c r="Y255" s="64" t="s">
        <v>52</v>
      </c>
      <c r="Z255" s="9">
        <v>50.506202049571435</v>
      </c>
      <c r="AA255" s="15" t="s">
        <v>127</v>
      </c>
      <c r="AB255" s="15" t="s">
        <v>52</v>
      </c>
      <c r="AC255" s="9">
        <v>18.530436821991735</v>
      </c>
      <c r="AD255" s="64" t="s">
        <v>127</v>
      </c>
      <c r="AE255" s="290" t="s">
        <v>94</v>
      </c>
      <c r="AF255" s="9">
        <v>17.591325862171054</v>
      </c>
      <c r="AG255" s="15" t="s">
        <v>127</v>
      </c>
      <c r="AH255" s="15" t="s">
        <v>1508</v>
      </c>
      <c r="AI255" s="9">
        <v>17.024331985686565</v>
      </c>
      <c r="AJ255" s="57" t="s">
        <v>95</v>
      </c>
      <c r="AK255" s="64" t="s">
        <v>52</v>
      </c>
      <c r="AL255" s="9">
        <v>16.352540881381678</v>
      </c>
      <c r="AM255" s="57" t="s">
        <v>95</v>
      </c>
      <c r="AN255" s="51" t="s">
        <v>94</v>
      </c>
      <c r="AO255" s="9">
        <v>15.888157599074072</v>
      </c>
      <c r="AP255" s="60"/>
      <c r="AQ255" s="57" t="s">
        <v>95</v>
      </c>
      <c r="AR255" s="9">
        <v>9.5067893076400001</v>
      </c>
      <c r="AS255" s="15" t="s">
        <v>127</v>
      </c>
      <c r="AT255" s="9">
        <v>4.8280551884380003</v>
      </c>
      <c r="AU255" s="242" t="s">
        <v>2467</v>
      </c>
      <c r="AV255" s="9">
        <v>2</v>
      </c>
      <c r="AW255" s="15" t="s">
        <v>52</v>
      </c>
      <c r="AX255" s="9">
        <v>166.88239149898001</v>
      </c>
      <c r="AY255" s="64" t="s">
        <v>52</v>
      </c>
      <c r="AZ255" s="9">
        <v>2.3840341642711431</v>
      </c>
      <c r="BA255" s="64" t="s">
        <v>127</v>
      </c>
      <c r="BB255" s="64" t="s">
        <v>52</v>
      </c>
      <c r="BC255" s="9">
        <v>9.3295645303974997</v>
      </c>
      <c r="BD255" s="64" t="s">
        <v>127</v>
      </c>
      <c r="BE255" s="290" t="s">
        <v>94</v>
      </c>
      <c r="BF255" s="9">
        <v>8.3616445931500003</v>
      </c>
      <c r="BG255" s="64" t="s">
        <v>127</v>
      </c>
      <c r="BH255" s="69" t="s">
        <v>97</v>
      </c>
      <c r="BI255" s="9">
        <v>8.0516806102805258</v>
      </c>
      <c r="BJ255" s="15" t="s">
        <v>127</v>
      </c>
      <c r="BK255" s="64" t="s">
        <v>1508</v>
      </c>
      <c r="BL255" s="9">
        <v>7.9877197884185716</v>
      </c>
      <c r="BM255" s="57" t="s">
        <v>95</v>
      </c>
      <c r="BN255" s="64" t="s">
        <v>52</v>
      </c>
      <c r="BO255" s="9">
        <v>7.7165259283735184</v>
      </c>
    </row>
    <row r="256" spans="1:67" x14ac:dyDescent="0.45">
      <c r="A256" s="10">
        <v>235</v>
      </c>
      <c r="B256" s="10" t="s">
        <v>1043</v>
      </c>
      <c r="C256" s="64" t="s">
        <v>1889</v>
      </c>
      <c r="D256" s="65"/>
      <c r="E256" s="58" t="s">
        <v>1903</v>
      </c>
      <c r="F256" s="77"/>
      <c r="G256" s="77" t="s">
        <v>1888</v>
      </c>
      <c r="H256" s="10"/>
      <c r="I256" s="62">
        <v>43.466500550000006</v>
      </c>
      <c r="J256" s="62">
        <v>77.449400980000007</v>
      </c>
      <c r="K256" s="62">
        <v>127.23830161000001</v>
      </c>
      <c r="L256" s="49">
        <v>431.49189275508587</v>
      </c>
      <c r="M256" s="49">
        <v>568.23380773636131</v>
      </c>
      <c r="N256" s="49">
        <v>708.2239546395374</v>
      </c>
      <c r="O256" s="61">
        <v>9.1461652235769293</v>
      </c>
      <c r="P256" s="60"/>
      <c r="Q256" s="14" t="s">
        <v>3505</v>
      </c>
      <c r="R256" s="9">
        <v>5.3466500550000005</v>
      </c>
      <c r="S256" s="15" t="s">
        <v>1489</v>
      </c>
      <c r="T256" s="9">
        <v>5.1295880396000006</v>
      </c>
      <c r="U256" s="15" t="s">
        <v>1553</v>
      </c>
      <c r="V256" s="9">
        <v>20</v>
      </c>
      <c r="W256" s="64" t="s">
        <v>1498</v>
      </c>
      <c r="X256" s="9">
        <v>53.159800660000009</v>
      </c>
      <c r="Y256" s="288" t="s">
        <v>1570</v>
      </c>
      <c r="Z256" s="9">
        <v>17.207779622058826</v>
      </c>
      <c r="AA256" s="15" t="s">
        <v>1553</v>
      </c>
      <c r="AB256" s="15" t="s">
        <v>1498</v>
      </c>
      <c r="AC256" s="9">
        <v>7.6115697669489801</v>
      </c>
      <c r="AD256" s="64" t="s">
        <v>1553</v>
      </c>
      <c r="AE256" s="288" t="s">
        <v>1570</v>
      </c>
      <c r="AF256" s="9">
        <v>7.4539424137647066</v>
      </c>
      <c r="AG256" s="15" t="s">
        <v>1553</v>
      </c>
      <c r="AH256" s="15" t="s">
        <v>1531</v>
      </c>
      <c r="AI256" s="9">
        <v>7.2405242158843537</v>
      </c>
      <c r="AJ256" s="15" t="s">
        <v>1553</v>
      </c>
      <c r="AK256" s="64" t="s">
        <v>52</v>
      </c>
      <c r="AL256" s="9">
        <v>7.2390439532629109</v>
      </c>
      <c r="AM256" s="15" t="s">
        <v>1553</v>
      </c>
      <c r="AN256" s="55" t="s">
        <v>1773</v>
      </c>
      <c r="AO256" s="9">
        <v>7.2247868856589159</v>
      </c>
      <c r="AP256" s="60"/>
      <c r="AQ256" s="14" t="s">
        <v>2418</v>
      </c>
      <c r="AR256" s="9">
        <v>5.5205160572000009</v>
      </c>
      <c r="AS256" s="15" t="s">
        <v>1489</v>
      </c>
      <c r="AT256" s="9">
        <v>2.3561548171600002</v>
      </c>
      <c r="AU256" s="64" t="s">
        <v>1553</v>
      </c>
      <c r="AV256" s="9">
        <v>5</v>
      </c>
      <c r="AW256" s="15" t="s">
        <v>3476</v>
      </c>
      <c r="AX256" s="9">
        <v>51.855805643500013</v>
      </c>
      <c r="AY256" s="75" t="s">
        <v>48</v>
      </c>
      <c r="AZ256" s="9">
        <v>0.68598532663181833</v>
      </c>
      <c r="BA256" s="64" t="s">
        <v>1553</v>
      </c>
      <c r="BB256" s="75" t="s">
        <v>48</v>
      </c>
      <c r="BC256" s="9">
        <v>4.3715515593283341</v>
      </c>
      <c r="BD256" s="64" t="s">
        <v>1553</v>
      </c>
      <c r="BE256" s="78" t="s">
        <v>1503</v>
      </c>
      <c r="BF256" s="9">
        <v>4.3419529422871435</v>
      </c>
      <c r="BG256" s="64" t="s">
        <v>1553</v>
      </c>
      <c r="BH256" s="15" t="s">
        <v>1498</v>
      </c>
      <c r="BI256" s="9">
        <v>4.3106132301258828</v>
      </c>
      <c r="BJ256" s="15" t="s">
        <v>1553</v>
      </c>
      <c r="BK256" s="64" t="s">
        <v>112</v>
      </c>
      <c r="BL256" s="9">
        <v>4.3106132301258828</v>
      </c>
      <c r="BM256" s="15" t="s">
        <v>1553</v>
      </c>
      <c r="BN256" s="64" t="s">
        <v>52</v>
      </c>
      <c r="BO256" s="9">
        <v>4.2547715611840005</v>
      </c>
    </row>
    <row r="257" spans="1:67" x14ac:dyDescent="0.45">
      <c r="A257" s="10">
        <v>236</v>
      </c>
      <c r="B257" s="10" t="s">
        <v>1042</v>
      </c>
      <c r="C257" s="58" t="s">
        <v>1903</v>
      </c>
      <c r="D257" s="65"/>
      <c r="E257" s="287" t="s">
        <v>2235</v>
      </c>
      <c r="F257" s="289" t="s">
        <v>2236</v>
      </c>
      <c r="G257" s="242"/>
      <c r="H257" s="10"/>
      <c r="I257" s="62">
        <v>62.433700790000003</v>
      </c>
      <c r="J257" s="62">
        <v>62.433700790000003</v>
      </c>
      <c r="K257" s="62">
        <v>99.577801260000001</v>
      </c>
      <c r="L257" s="49">
        <v>492.27738434732885</v>
      </c>
      <c r="M257" s="49">
        <v>532.10882287206186</v>
      </c>
      <c r="N257" s="49">
        <v>566.28221289388262</v>
      </c>
      <c r="O257" s="61">
        <v>5.8516692802290686</v>
      </c>
      <c r="P257" s="60"/>
      <c r="Q257" s="55" t="s">
        <v>53</v>
      </c>
      <c r="R257" s="9">
        <v>6.6190330711000005</v>
      </c>
      <c r="S257" s="15" t="s">
        <v>127</v>
      </c>
      <c r="T257" s="9">
        <v>5.1216850395</v>
      </c>
      <c r="U257" s="15" t="s">
        <v>127</v>
      </c>
      <c r="V257" s="9">
        <v>10</v>
      </c>
      <c r="W257" s="56" t="s">
        <v>40</v>
      </c>
      <c r="X257" s="9">
        <v>25.973480316</v>
      </c>
      <c r="Y257" s="58" t="s">
        <v>106</v>
      </c>
      <c r="Z257" s="9">
        <v>9.9900551184999991</v>
      </c>
      <c r="AA257" s="15" t="s">
        <v>127</v>
      </c>
      <c r="AB257" s="55" t="s">
        <v>106</v>
      </c>
      <c r="AC257" s="9">
        <v>6.7006158759324324</v>
      </c>
      <c r="AD257" s="64" t="s">
        <v>127</v>
      </c>
      <c r="AE257" s="56" t="s">
        <v>40</v>
      </c>
      <c r="AF257" s="9">
        <v>6.6989487679870123</v>
      </c>
      <c r="AG257" s="55" t="s">
        <v>53</v>
      </c>
      <c r="AH257" s="52" t="s">
        <v>40</v>
      </c>
      <c r="AI257" s="9">
        <v>6.4205049642934773</v>
      </c>
      <c r="AJ257" s="55" t="s">
        <v>53</v>
      </c>
      <c r="AK257" s="58" t="s">
        <v>106</v>
      </c>
      <c r="AL257" s="9">
        <v>6.4125053527977531</v>
      </c>
      <c r="AM257" s="15" t="s">
        <v>127</v>
      </c>
      <c r="AN257" s="55" t="s">
        <v>201</v>
      </c>
      <c r="AO257" s="9">
        <v>6.3165041378216555</v>
      </c>
      <c r="AP257" s="60"/>
      <c r="AQ257" s="55" t="s">
        <v>53</v>
      </c>
      <c r="AR257" s="9">
        <v>5.3828457954580005</v>
      </c>
      <c r="AS257" s="15" t="s">
        <v>127</v>
      </c>
      <c r="AT257" s="9">
        <v>2.2174571654049999</v>
      </c>
      <c r="AU257" s="58" t="s">
        <v>53</v>
      </c>
      <c r="AV257" s="9">
        <v>2.3333333333333002</v>
      </c>
      <c r="AW257" s="52" t="s">
        <v>40</v>
      </c>
      <c r="AX257" s="9">
        <v>33.465524410800001</v>
      </c>
      <c r="AY257" s="56" t="s">
        <v>40</v>
      </c>
      <c r="AZ257" s="9">
        <v>0.74367832024000002</v>
      </c>
      <c r="BA257" s="64" t="s">
        <v>127</v>
      </c>
      <c r="BB257" s="56" t="s">
        <v>40</v>
      </c>
      <c r="BC257" s="9">
        <v>3.5471621545707444</v>
      </c>
      <c r="BD257" s="58" t="s">
        <v>53</v>
      </c>
      <c r="BE257" s="56" t="s">
        <v>40</v>
      </c>
      <c r="BF257" s="9">
        <v>3.3555403638817611</v>
      </c>
      <c r="BG257" s="64" t="s">
        <v>127</v>
      </c>
      <c r="BH257" s="55" t="s">
        <v>106</v>
      </c>
      <c r="BI257" s="9">
        <v>3.2045845968144597</v>
      </c>
      <c r="BJ257" s="15" t="s">
        <v>127</v>
      </c>
      <c r="BK257" s="58" t="s">
        <v>201</v>
      </c>
      <c r="BL257" s="9">
        <v>3.0870694264085716</v>
      </c>
      <c r="BM257" s="55" t="s">
        <v>53</v>
      </c>
      <c r="BN257" s="58" t="s">
        <v>106</v>
      </c>
      <c r="BO257" s="9">
        <v>2.9620964764856255</v>
      </c>
    </row>
    <row r="258" spans="1:67" x14ac:dyDescent="0.45">
      <c r="A258" s="10">
        <v>237</v>
      </c>
      <c r="B258" s="10" t="s">
        <v>1040</v>
      </c>
      <c r="C258" s="58" t="s">
        <v>1903</v>
      </c>
      <c r="D258" s="65"/>
      <c r="E258" s="287" t="s">
        <v>2235</v>
      </c>
      <c r="F258" s="289" t="s">
        <v>2236</v>
      </c>
      <c r="G258" s="242"/>
      <c r="H258" s="10"/>
      <c r="I258" s="62">
        <v>148.57640188000002</v>
      </c>
      <c r="J258" s="62">
        <v>175.44660222000002</v>
      </c>
      <c r="K258" s="62">
        <v>120.12560152</v>
      </c>
      <c r="L258" s="49">
        <v>2156.950136280836</v>
      </c>
      <c r="M258" s="49">
        <v>2140.36044298867</v>
      </c>
      <c r="N258" s="49">
        <v>2127.1806045944986</v>
      </c>
      <c r="O258" s="61">
        <v>17.929890295750834</v>
      </c>
      <c r="P258" s="60"/>
      <c r="Q258" s="55" t="s">
        <v>53</v>
      </c>
      <c r="R258" s="9">
        <v>14.371876169200002</v>
      </c>
      <c r="S258" s="55" t="s">
        <v>45</v>
      </c>
      <c r="T258" s="9">
        <v>12.997223261511111</v>
      </c>
      <c r="U258" s="55" t="s">
        <v>45</v>
      </c>
      <c r="V258" s="9">
        <v>8.89</v>
      </c>
      <c r="W258" s="58" t="s">
        <v>216</v>
      </c>
      <c r="X258" s="9">
        <v>90.145841128000015</v>
      </c>
      <c r="Y258" s="58" t="s">
        <v>216</v>
      </c>
      <c r="Z258" s="9">
        <v>39.19384396869566</v>
      </c>
      <c r="AA258" s="55" t="s">
        <v>45</v>
      </c>
      <c r="AB258" s="55" t="s">
        <v>216</v>
      </c>
      <c r="AC258" s="9">
        <v>17.300953806262861</v>
      </c>
      <c r="AD258" s="58" t="s">
        <v>45</v>
      </c>
      <c r="AE258" s="56" t="s">
        <v>87</v>
      </c>
      <c r="AF258" s="9">
        <v>16.239693792834288</v>
      </c>
      <c r="AG258" s="55" t="s">
        <v>53</v>
      </c>
      <c r="AH258" s="55" t="s">
        <v>216</v>
      </c>
      <c r="AI258" s="9">
        <v>15.285268158169936</v>
      </c>
      <c r="AJ258" s="55" t="s">
        <v>45</v>
      </c>
      <c r="AK258" s="59" t="s">
        <v>194</v>
      </c>
      <c r="AL258" s="9">
        <v>14.962458442352942</v>
      </c>
      <c r="AM258" s="55" t="s">
        <v>53</v>
      </c>
      <c r="AN258" s="52" t="s">
        <v>87</v>
      </c>
      <c r="AO258" s="9">
        <v>14.314180564183008</v>
      </c>
      <c r="AP258" s="60"/>
      <c r="AQ258" s="55" t="s">
        <v>53</v>
      </c>
      <c r="AR258" s="9">
        <v>11.430063411976002</v>
      </c>
      <c r="AS258" s="55" t="s">
        <v>45</v>
      </c>
      <c r="AT258" s="9">
        <v>5.1355837386560008</v>
      </c>
      <c r="AU258" s="58" t="s">
        <v>45</v>
      </c>
      <c r="AV258" s="9">
        <v>3.5</v>
      </c>
      <c r="AW258" s="55" t="s">
        <v>216</v>
      </c>
      <c r="AX258" s="9">
        <v>116.88959346640002</v>
      </c>
      <c r="AY258" s="58" t="s">
        <v>216</v>
      </c>
      <c r="AZ258" s="9">
        <v>2.597546521475556</v>
      </c>
      <c r="BA258" s="58" t="s">
        <v>45</v>
      </c>
      <c r="BB258" s="58" t="s">
        <v>216</v>
      </c>
      <c r="BC258" s="9">
        <v>13.200306090142682</v>
      </c>
      <c r="BD258" s="58" t="s">
        <v>45</v>
      </c>
      <c r="BE258" s="56" t="s">
        <v>87</v>
      </c>
      <c r="BF258" s="9">
        <v>10.666126835950086</v>
      </c>
      <c r="BG258" s="58" t="s">
        <v>53</v>
      </c>
      <c r="BH258" s="55" t="s">
        <v>216</v>
      </c>
      <c r="BI258" s="9">
        <v>9.3843662521388751</v>
      </c>
      <c r="BJ258" s="55" t="s">
        <v>45</v>
      </c>
      <c r="BK258" s="59" t="s">
        <v>194</v>
      </c>
      <c r="BL258" s="9">
        <v>9.1660484368655126</v>
      </c>
      <c r="BM258" s="55" t="s">
        <v>53</v>
      </c>
      <c r="BN258" s="56" t="s">
        <v>87</v>
      </c>
      <c r="BO258" s="9">
        <v>7.6260239314690716</v>
      </c>
    </row>
    <row r="259" spans="1:67" x14ac:dyDescent="0.45">
      <c r="A259" s="10">
        <v>238</v>
      </c>
      <c r="B259" s="10" t="s">
        <v>1037</v>
      </c>
      <c r="C259" s="291" t="s">
        <v>2134</v>
      </c>
      <c r="D259" s="65"/>
      <c r="E259" s="289" t="s">
        <v>2269</v>
      </c>
      <c r="F259" s="291" t="s">
        <v>2134</v>
      </c>
      <c r="G259" s="242"/>
      <c r="H259" s="10"/>
      <c r="I259" s="62">
        <v>132.77040168000002</v>
      </c>
      <c r="J259" s="62">
        <v>83.771801060000001</v>
      </c>
      <c r="K259" s="62">
        <v>113.01290143000001</v>
      </c>
      <c r="L259" s="49">
        <v>1291.8563014378715</v>
      </c>
      <c r="M259" s="49">
        <v>1164.710787321138</v>
      </c>
      <c r="N259" s="49">
        <v>1072.0652271795491</v>
      </c>
      <c r="O259" s="61">
        <v>8.7355052849204196</v>
      </c>
      <c r="P259" s="60"/>
      <c r="Q259" s="74" t="s">
        <v>109</v>
      </c>
      <c r="R259" s="9">
        <v>8.9662241008000017</v>
      </c>
      <c r="S259" s="74" t="s">
        <v>109</v>
      </c>
      <c r="T259" s="9">
        <v>9.9624712231111126</v>
      </c>
      <c r="U259" s="74" t="s">
        <v>59</v>
      </c>
      <c r="V259" s="9">
        <v>15</v>
      </c>
      <c r="W259" s="291" t="s">
        <v>189</v>
      </c>
      <c r="X259" s="9">
        <v>72.696016907200004</v>
      </c>
      <c r="Y259" s="291" t="s">
        <v>189</v>
      </c>
      <c r="Z259" s="9">
        <v>22.029096032484851</v>
      </c>
      <c r="AA259" s="15" t="s">
        <v>288</v>
      </c>
      <c r="AB259" s="74" t="s">
        <v>189</v>
      </c>
      <c r="AC259" s="9">
        <v>14.428198883196789</v>
      </c>
      <c r="AD259" s="291" t="s">
        <v>109</v>
      </c>
      <c r="AE259" s="291" t="s">
        <v>189</v>
      </c>
      <c r="AF259" s="9">
        <v>14.42408039632493</v>
      </c>
      <c r="AG259" s="74" t="s">
        <v>109</v>
      </c>
      <c r="AH259" s="57" t="s">
        <v>58</v>
      </c>
      <c r="AI259" s="9">
        <v>13.975150967731267</v>
      </c>
      <c r="AJ259" s="15" t="s">
        <v>288</v>
      </c>
      <c r="AK259" s="242" t="s">
        <v>58</v>
      </c>
      <c r="AL259" s="9">
        <v>13.947924729959485</v>
      </c>
      <c r="AM259" s="74" t="s">
        <v>59</v>
      </c>
      <c r="AN259" s="74" t="s">
        <v>189</v>
      </c>
      <c r="AO259" s="9">
        <v>13.863587704844223</v>
      </c>
      <c r="AP259" s="60"/>
      <c r="AQ259" s="74" t="s">
        <v>109</v>
      </c>
      <c r="AR259" s="9">
        <v>8.2492639317280005</v>
      </c>
      <c r="AS259" s="74" t="s">
        <v>109</v>
      </c>
      <c r="AT259" s="9">
        <v>4.1246319658640003</v>
      </c>
      <c r="AU259" s="291" t="s">
        <v>59</v>
      </c>
      <c r="AV259" s="9">
        <v>4</v>
      </c>
      <c r="AW259" s="74" t="s">
        <v>189</v>
      </c>
      <c r="AX259" s="9">
        <v>94.20482197936002</v>
      </c>
      <c r="AY259" s="291" t="s">
        <v>189</v>
      </c>
      <c r="AZ259" s="9">
        <v>1.7128149450792731</v>
      </c>
      <c r="BA259" s="291" t="s">
        <v>59</v>
      </c>
      <c r="BB259" s="291" t="s">
        <v>189</v>
      </c>
      <c r="BC259" s="9">
        <v>8.7836659755742392</v>
      </c>
      <c r="BD259" s="291" t="s">
        <v>59</v>
      </c>
      <c r="BE259" s="242" t="s">
        <v>58</v>
      </c>
      <c r="BF259" s="9">
        <v>8.3607220254791841</v>
      </c>
      <c r="BG259" s="291" t="s">
        <v>109</v>
      </c>
      <c r="BH259" s="74" t="s">
        <v>189</v>
      </c>
      <c r="BI259" s="9">
        <v>8.0411619664507832</v>
      </c>
      <c r="BJ259" s="74" t="s">
        <v>109</v>
      </c>
      <c r="BK259" s="242" t="s">
        <v>58</v>
      </c>
      <c r="BL259" s="9">
        <v>7.7755797212016855</v>
      </c>
      <c r="BM259" s="74" t="s">
        <v>59</v>
      </c>
      <c r="BN259" s="291" t="s">
        <v>114</v>
      </c>
      <c r="BO259" s="9">
        <v>7.6064259075272735</v>
      </c>
    </row>
    <row r="260" spans="1:67" x14ac:dyDescent="0.45">
      <c r="A260" s="10">
        <v>239</v>
      </c>
      <c r="B260" s="10" t="s">
        <v>1034</v>
      </c>
      <c r="C260" s="290" t="s">
        <v>1992</v>
      </c>
      <c r="D260" s="65"/>
      <c r="E260" s="80" t="s">
        <v>1892</v>
      </c>
      <c r="F260" s="287" t="s">
        <v>2211</v>
      </c>
      <c r="G260" s="242"/>
      <c r="H260" s="10"/>
      <c r="I260" s="62">
        <v>118.54500150000001</v>
      </c>
      <c r="J260" s="62">
        <v>91.674801160000001</v>
      </c>
      <c r="K260" s="62">
        <v>113.01290143000001</v>
      </c>
      <c r="L260" s="49">
        <v>1206.6248001599877</v>
      </c>
      <c r="M260" s="49">
        <v>1146.8523232587936</v>
      </c>
      <c r="N260" s="49">
        <v>1101.173369158297</v>
      </c>
      <c r="O260" s="61">
        <v>9.4904043366220971</v>
      </c>
      <c r="P260" s="60"/>
      <c r="Q260" s="55" t="s">
        <v>2391</v>
      </c>
      <c r="R260" s="9">
        <v>4.5563500450000003</v>
      </c>
      <c r="S260" s="55" t="s">
        <v>2391</v>
      </c>
      <c r="T260" s="9">
        <v>7.5939167416666677</v>
      </c>
      <c r="U260" s="51" t="s">
        <v>115</v>
      </c>
      <c r="V260" s="9">
        <v>13.333</v>
      </c>
      <c r="W260" s="290" t="s">
        <v>182</v>
      </c>
      <c r="X260" s="9">
        <v>57.901600720000005</v>
      </c>
      <c r="Y260" s="290" t="s">
        <v>182</v>
      </c>
      <c r="Z260" s="9">
        <v>23.160640288000003</v>
      </c>
      <c r="AA260" s="51" t="s">
        <v>115</v>
      </c>
      <c r="AB260" s="51" t="s">
        <v>182</v>
      </c>
      <c r="AC260" s="9">
        <v>13.820606160200001</v>
      </c>
      <c r="AD260" s="290" t="s">
        <v>115</v>
      </c>
      <c r="AE260" s="290" t="s">
        <v>302</v>
      </c>
      <c r="AF260" s="9">
        <v>13.243468487833335</v>
      </c>
      <c r="AG260" s="55" t="s">
        <v>140</v>
      </c>
      <c r="AH260" s="51" t="s">
        <v>182</v>
      </c>
      <c r="AI260" s="9">
        <v>12.782824590444445</v>
      </c>
      <c r="AJ260" s="55" t="s">
        <v>140</v>
      </c>
      <c r="AK260" s="290" t="s">
        <v>302</v>
      </c>
      <c r="AL260" s="9">
        <v>12.436389666952381</v>
      </c>
      <c r="AM260" s="51" t="s">
        <v>115</v>
      </c>
      <c r="AN260" s="51" t="s">
        <v>5</v>
      </c>
      <c r="AO260" s="9">
        <v>12.0911493625969</v>
      </c>
      <c r="AP260" s="60"/>
      <c r="AQ260" s="55" t="s">
        <v>140</v>
      </c>
      <c r="AR260" s="9">
        <v>4.0821700390000002</v>
      </c>
      <c r="AS260" s="55" t="s">
        <v>140</v>
      </c>
      <c r="AT260" s="9">
        <v>2.0410850195000001</v>
      </c>
      <c r="AU260" s="290" t="s">
        <v>115</v>
      </c>
      <c r="AV260" s="9">
        <v>4.5</v>
      </c>
      <c r="AW260" s="51" t="s">
        <v>182</v>
      </c>
      <c r="AX260" s="9">
        <v>84.218591053000011</v>
      </c>
      <c r="AY260" s="290" t="s">
        <v>182</v>
      </c>
      <c r="AZ260" s="9">
        <v>1.5312471100545457</v>
      </c>
      <c r="BA260" s="290" t="s">
        <v>115</v>
      </c>
      <c r="BB260" s="290" t="s">
        <v>182</v>
      </c>
      <c r="BC260" s="9">
        <v>8.113737280735295</v>
      </c>
      <c r="BD260" s="290" t="s">
        <v>115</v>
      </c>
      <c r="BE260" s="290" t="s">
        <v>302</v>
      </c>
      <c r="BF260" s="9">
        <v>7.2701891760000015</v>
      </c>
      <c r="BG260" s="290" t="s">
        <v>115</v>
      </c>
      <c r="BH260" s="51" t="s">
        <v>5</v>
      </c>
      <c r="BI260" s="9">
        <v>6.9400041819719105</v>
      </c>
      <c r="BJ260" s="55" t="s">
        <v>140</v>
      </c>
      <c r="BK260" s="290" t="s">
        <v>182</v>
      </c>
      <c r="BL260" s="9">
        <v>5.6140200644347829</v>
      </c>
      <c r="BM260" s="51" t="s">
        <v>115</v>
      </c>
      <c r="BN260" s="58" t="s">
        <v>106</v>
      </c>
      <c r="BO260" s="9">
        <v>5.2972615156772154</v>
      </c>
    </row>
    <row r="261" spans="1:67" x14ac:dyDescent="0.45">
      <c r="A261" s="10">
        <v>240</v>
      </c>
      <c r="B261" s="10" t="s">
        <v>1032</v>
      </c>
      <c r="C261" s="75" t="s">
        <v>1976</v>
      </c>
      <c r="D261" s="65"/>
      <c r="E261" s="80" t="s">
        <v>2198</v>
      </c>
      <c r="F261" s="289" t="s">
        <v>2199</v>
      </c>
      <c r="G261" s="242"/>
      <c r="H261" s="10"/>
      <c r="I261" s="62">
        <v>131.18980166</v>
      </c>
      <c r="J261" s="62">
        <v>90.09420114000001</v>
      </c>
      <c r="K261" s="62">
        <v>113.01290143000001</v>
      </c>
      <c r="L261" s="49">
        <v>1323.7699166814352</v>
      </c>
      <c r="M261" s="49">
        <v>1212.8766245649399</v>
      </c>
      <c r="N261" s="49">
        <v>1130.8888472992819</v>
      </c>
      <c r="O261" s="61">
        <v>9.3403001889208053</v>
      </c>
      <c r="P261" s="60"/>
      <c r="Q261" s="70" t="s">
        <v>138</v>
      </c>
      <c r="R261" s="9">
        <v>8.871388099599999</v>
      </c>
      <c r="S261" s="70" t="s">
        <v>138</v>
      </c>
      <c r="T261" s="9">
        <v>8.871388099599999</v>
      </c>
      <c r="U261" s="55" t="s">
        <v>1507</v>
      </c>
      <c r="V261" s="9">
        <v>12.5</v>
      </c>
      <c r="W261" s="75" t="s">
        <v>3462</v>
      </c>
      <c r="X261" s="9">
        <v>56.099716697200002</v>
      </c>
      <c r="Y261" s="75" t="s">
        <v>76</v>
      </c>
      <c r="Z261" s="9">
        <v>25.499871226</v>
      </c>
      <c r="AA261" s="55" t="s">
        <v>1507</v>
      </c>
      <c r="AB261" s="70" t="s">
        <v>76</v>
      </c>
      <c r="AC261" s="9">
        <v>14.086722101483872</v>
      </c>
      <c r="AD261" s="75" t="s">
        <v>138</v>
      </c>
      <c r="AE261" s="75" t="s">
        <v>76</v>
      </c>
      <c r="AF261" s="9">
        <v>13.952313499333332</v>
      </c>
      <c r="AG261" s="55" t="s">
        <v>1507</v>
      </c>
      <c r="AH261" s="70" t="s">
        <v>13</v>
      </c>
      <c r="AI261" s="9">
        <v>13.380398925164384</v>
      </c>
      <c r="AJ261" s="70" t="s">
        <v>138</v>
      </c>
      <c r="AK261" s="75" t="s">
        <v>13</v>
      </c>
      <c r="AL261" s="9">
        <v>13.348902689120482</v>
      </c>
      <c r="AM261" s="55" t="s">
        <v>1507</v>
      </c>
      <c r="AN261" s="70" t="s">
        <v>280</v>
      </c>
      <c r="AO261" s="9">
        <v>13.232981368060607</v>
      </c>
      <c r="AP261" s="60"/>
      <c r="AQ261" s="70" t="s">
        <v>138</v>
      </c>
      <c r="AR261" s="9">
        <v>7.1396827176880002</v>
      </c>
      <c r="AS261" s="70" t="s">
        <v>138</v>
      </c>
      <c r="AT261" s="9">
        <v>3.5698413588440001</v>
      </c>
      <c r="AU261" s="58" t="s">
        <v>1507</v>
      </c>
      <c r="AV261" s="9">
        <v>3.5</v>
      </c>
      <c r="AW261" s="70" t="s">
        <v>76</v>
      </c>
      <c r="AX261" s="9">
        <v>93.09524076532</v>
      </c>
      <c r="AY261" s="75" t="s">
        <v>76</v>
      </c>
      <c r="AZ261" s="9">
        <v>1.6926407411876363</v>
      </c>
      <c r="BA261" s="75" t="s">
        <v>138</v>
      </c>
      <c r="BB261" s="75" t="s">
        <v>76</v>
      </c>
      <c r="BC261" s="9">
        <v>8.2004654660755172</v>
      </c>
      <c r="BD261" s="58" t="s">
        <v>1507</v>
      </c>
      <c r="BE261" s="75" t="s">
        <v>76</v>
      </c>
      <c r="BF261" s="9">
        <v>8.0441748361067518</v>
      </c>
      <c r="BG261" s="75" t="s">
        <v>138</v>
      </c>
      <c r="BH261" s="70" t="s">
        <v>13</v>
      </c>
      <c r="BI261" s="9">
        <v>7.317091374190233</v>
      </c>
      <c r="BJ261" s="70" t="s">
        <v>138</v>
      </c>
      <c r="BK261" s="75" t="s">
        <v>280</v>
      </c>
      <c r="BL261" s="9">
        <v>7.1418994802672424</v>
      </c>
      <c r="BM261" s="55" t="s">
        <v>1507</v>
      </c>
      <c r="BN261" s="75" t="s">
        <v>13</v>
      </c>
      <c r="BO261" s="9">
        <v>7.0288473165859768</v>
      </c>
    </row>
    <row r="262" spans="1:67" x14ac:dyDescent="0.45">
      <c r="A262" s="10">
        <v>241</v>
      </c>
      <c r="B262" s="10" t="s">
        <v>259</v>
      </c>
      <c r="C262" s="64" t="s">
        <v>1889</v>
      </c>
      <c r="D262" s="65"/>
      <c r="E262" s="58" t="s">
        <v>1903</v>
      </c>
      <c r="F262" s="77"/>
      <c r="G262" s="77" t="s">
        <v>1888</v>
      </c>
      <c r="H262" s="10"/>
      <c r="I262" s="62">
        <v>135.93160172</v>
      </c>
      <c r="J262" s="62">
        <v>164.38240208000002</v>
      </c>
      <c r="K262" s="62">
        <v>182.55930231000002</v>
      </c>
      <c r="L262" s="49">
        <v>2354.7785938851198</v>
      </c>
      <c r="M262" s="49">
        <v>2553.0137238244029</v>
      </c>
      <c r="N262" s="49">
        <v>2723.5515858949489</v>
      </c>
      <c r="O262" s="61">
        <v>25.772921835780942</v>
      </c>
      <c r="P262" s="60"/>
      <c r="Q262" s="57" t="s">
        <v>95</v>
      </c>
      <c r="R262" s="9">
        <v>9.1558961031999999</v>
      </c>
      <c r="S262" s="15" t="s">
        <v>127</v>
      </c>
      <c r="T262" s="9">
        <v>10.1558961032</v>
      </c>
      <c r="U262" s="15" t="s">
        <v>127</v>
      </c>
      <c r="V262" s="9">
        <v>10</v>
      </c>
      <c r="W262" s="291" t="s">
        <v>189</v>
      </c>
      <c r="X262" s="9">
        <v>62.169220774000003</v>
      </c>
      <c r="Y262" s="64" t="s">
        <v>1508</v>
      </c>
      <c r="Z262" s="9">
        <v>26.974957980941173</v>
      </c>
      <c r="AA262" s="15" t="s">
        <v>127</v>
      </c>
      <c r="AB262" s="15" t="s">
        <v>1480</v>
      </c>
      <c r="AC262" s="9">
        <v>14.452063858598727</v>
      </c>
      <c r="AD262" s="64" t="s">
        <v>127</v>
      </c>
      <c r="AE262" s="64" t="s">
        <v>1508</v>
      </c>
      <c r="AF262" s="9">
        <v>14.423419266208953</v>
      </c>
      <c r="AG262" s="15" t="s">
        <v>127</v>
      </c>
      <c r="AH262" s="51" t="s">
        <v>182</v>
      </c>
      <c r="AI262" s="9">
        <v>14.153616160533334</v>
      </c>
      <c r="AJ262" s="15" t="s">
        <v>127</v>
      </c>
      <c r="AK262" s="291" t="s">
        <v>189</v>
      </c>
      <c r="AL262" s="9">
        <v>13.60827726385542</v>
      </c>
      <c r="AM262" s="57" t="s">
        <v>95</v>
      </c>
      <c r="AN262" s="15" t="s">
        <v>1480</v>
      </c>
      <c r="AO262" s="9">
        <v>12.987868417964069</v>
      </c>
      <c r="AP262" s="60"/>
      <c r="AQ262" s="57" t="s">
        <v>95</v>
      </c>
      <c r="AR262" s="9">
        <v>8.0684432894400011</v>
      </c>
      <c r="AS262" s="15" t="s">
        <v>127</v>
      </c>
      <c r="AT262" s="9">
        <v>4.180799480248</v>
      </c>
      <c r="AU262" s="242" t="s">
        <v>2467</v>
      </c>
      <c r="AV262" s="9">
        <v>2</v>
      </c>
      <c r="AW262" s="51" t="s">
        <v>2486</v>
      </c>
      <c r="AX262" s="9">
        <v>80.519987006200012</v>
      </c>
      <c r="AY262" s="64" t="s">
        <v>1480</v>
      </c>
      <c r="AZ262" s="9">
        <v>1.846171131570286</v>
      </c>
      <c r="BA262" s="64" t="s">
        <v>127</v>
      </c>
      <c r="BB262" s="64" t="s">
        <v>1480</v>
      </c>
      <c r="BC262" s="9">
        <v>7.4475665140162164</v>
      </c>
      <c r="BD262" s="64" t="s">
        <v>127</v>
      </c>
      <c r="BE262" s="290" t="s">
        <v>182</v>
      </c>
      <c r="BF262" s="9">
        <v>6.8593674636147366</v>
      </c>
      <c r="BG262" s="64" t="s">
        <v>127</v>
      </c>
      <c r="BH262" s="74" t="s">
        <v>189</v>
      </c>
      <c r="BI262" s="9">
        <v>6.8593674636147366</v>
      </c>
      <c r="BJ262" s="15" t="s">
        <v>127</v>
      </c>
      <c r="BK262" s="64" t="s">
        <v>1508</v>
      </c>
      <c r="BL262" s="9">
        <v>6.8062212734685712</v>
      </c>
      <c r="BM262" s="15" t="s">
        <v>127</v>
      </c>
      <c r="BN262" s="59" t="s">
        <v>194</v>
      </c>
      <c r="BO262" s="9">
        <v>6.3583360419948391</v>
      </c>
    </row>
    <row r="263" spans="1:67" x14ac:dyDescent="0.45">
      <c r="A263" s="10">
        <v>242</v>
      </c>
      <c r="B263" s="10" t="s">
        <v>289</v>
      </c>
      <c r="C263" s="64" t="s">
        <v>1889</v>
      </c>
      <c r="D263" s="65"/>
      <c r="E263" s="58" t="s">
        <v>1903</v>
      </c>
      <c r="F263" s="77"/>
      <c r="G263" s="77" t="s">
        <v>1888</v>
      </c>
      <c r="H263" s="10"/>
      <c r="I263" s="62">
        <v>113.80320144000001</v>
      </c>
      <c r="J263" s="62">
        <v>145.41520184000001</v>
      </c>
      <c r="K263" s="62">
        <v>403.84330511000002</v>
      </c>
      <c r="L263" s="49">
        <v>2757.8194393735012</v>
      </c>
      <c r="M263" s="49">
        <v>3548.0095900205743</v>
      </c>
      <c r="N263" s="49">
        <v>4340.3020126909232</v>
      </c>
      <c r="O263" s="61">
        <v>51.269579476479208</v>
      </c>
      <c r="P263" s="60"/>
      <c r="Q263" s="57" t="s">
        <v>95</v>
      </c>
      <c r="R263" s="9">
        <v>7.8281920864000005</v>
      </c>
      <c r="S263" s="15" t="s">
        <v>288</v>
      </c>
      <c r="T263" s="9">
        <v>9.6328907674666677</v>
      </c>
      <c r="U263" s="15" t="s">
        <v>288</v>
      </c>
      <c r="V263" s="9">
        <v>10</v>
      </c>
      <c r="W263" s="64" t="s">
        <v>112</v>
      </c>
      <c r="X263" s="9">
        <v>103.422881296</v>
      </c>
      <c r="Y263" s="64" t="s">
        <v>112</v>
      </c>
      <c r="Z263" s="9">
        <v>27.216547709473687</v>
      </c>
      <c r="AA263" s="15" t="s">
        <v>288</v>
      </c>
      <c r="AB263" s="15" t="s">
        <v>112</v>
      </c>
      <c r="AC263" s="9">
        <v>14.405597651725714</v>
      </c>
      <c r="AD263" s="64" t="s">
        <v>288</v>
      </c>
      <c r="AE263" s="242" t="s">
        <v>82</v>
      </c>
      <c r="AF263" s="9">
        <v>12.868704421196583</v>
      </c>
      <c r="AG263" s="15" t="s">
        <v>288</v>
      </c>
      <c r="AH263" s="14" t="s">
        <v>63</v>
      </c>
      <c r="AI263" s="9">
        <v>12.478359359686277</v>
      </c>
      <c r="AJ263" s="57" t="s">
        <v>95</v>
      </c>
      <c r="AK263" s="64" t="s">
        <v>112</v>
      </c>
      <c r="AL263" s="9">
        <v>12.277351497297298</v>
      </c>
      <c r="AM263" s="57" t="s">
        <v>95</v>
      </c>
      <c r="AN263" s="57" t="s">
        <v>82</v>
      </c>
      <c r="AO263" s="9">
        <v>11.006313383132531</v>
      </c>
      <c r="AP263" s="60"/>
      <c r="AQ263" s="57" t="s">
        <v>95</v>
      </c>
      <c r="AR263" s="9">
        <v>6.9177664748800005</v>
      </c>
      <c r="AS263" s="15" t="s">
        <v>288</v>
      </c>
      <c r="AT263" s="9">
        <v>2.7191624280800002</v>
      </c>
      <c r="AU263" s="242" t="s">
        <v>2454</v>
      </c>
      <c r="AV263" s="9">
        <v>2</v>
      </c>
      <c r="AW263" s="15" t="s">
        <v>112</v>
      </c>
      <c r="AX263" s="9">
        <v>134.14974568480002</v>
      </c>
      <c r="AY263" s="64" t="s">
        <v>112</v>
      </c>
      <c r="AZ263" s="9">
        <v>1.6768718210600002</v>
      </c>
      <c r="BA263" s="64" t="s">
        <v>288</v>
      </c>
      <c r="BB263" s="64" t="s">
        <v>112</v>
      </c>
      <c r="BC263" s="9">
        <v>5.9247864099512197</v>
      </c>
      <c r="BD263" s="242" t="s">
        <v>95</v>
      </c>
      <c r="BE263" s="64" t="s">
        <v>112</v>
      </c>
      <c r="BF263" s="9">
        <v>5.5216251711349598</v>
      </c>
      <c r="BG263" s="64" t="s">
        <v>288</v>
      </c>
      <c r="BH263" s="57" t="s">
        <v>82</v>
      </c>
      <c r="BI263" s="9">
        <v>4.9948013899859651</v>
      </c>
      <c r="BJ263" s="15" t="s">
        <v>288</v>
      </c>
      <c r="BK263" s="65" t="s">
        <v>63</v>
      </c>
      <c r="BL263" s="9">
        <v>4.9316659447888895</v>
      </c>
      <c r="BM263" s="57" t="s">
        <v>95</v>
      </c>
      <c r="BN263" s="242" t="s">
        <v>82</v>
      </c>
      <c r="BO263" s="9">
        <v>4.5960607787883045</v>
      </c>
    </row>
    <row r="264" spans="1:67" x14ac:dyDescent="0.45">
      <c r="A264" s="10">
        <v>243</v>
      </c>
      <c r="B264" s="10" t="s">
        <v>1027</v>
      </c>
      <c r="C264" s="290" t="s">
        <v>1992</v>
      </c>
      <c r="D264" s="65"/>
      <c r="E264" s="80" t="s">
        <v>1892</v>
      </c>
      <c r="F264" s="287" t="s">
        <v>2211</v>
      </c>
      <c r="G264" s="242"/>
      <c r="H264" s="10"/>
      <c r="I264" s="62">
        <v>202.31680256000001</v>
      </c>
      <c r="J264" s="62">
        <v>165.96300210000001</v>
      </c>
      <c r="K264" s="62">
        <v>175.44660222000002</v>
      </c>
      <c r="L264" s="49">
        <v>3452.3122935802157</v>
      </c>
      <c r="M264" s="49">
        <v>3261.8110366248443</v>
      </c>
      <c r="N264" s="49">
        <v>3117.0069910232564</v>
      </c>
      <c r="O264" s="61">
        <v>24.973043535886077</v>
      </c>
      <c r="P264" s="60"/>
      <c r="Q264" s="51" t="s">
        <v>1484</v>
      </c>
      <c r="R264" s="9">
        <v>25.278016307200001</v>
      </c>
      <c r="S264" s="51" t="s">
        <v>115</v>
      </c>
      <c r="T264" s="9">
        <v>11.782506794666668</v>
      </c>
      <c r="U264" s="51" t="s">
        <v>115</v>
      </c>
      <c r="V264" s="9">
        <v>13.333</v>
      </c>
      <c r="W264" s="290" t="s">
        <v>222</v>
      </c>
      <c r="X264" s="9">
        <v>122.390081536</v>
      </c>
      <c r="Y264" s="290" t="s">
        <v>222</v>
      </c>
      <c r="Z264" s="9">
        <v>50.995867306666668</v>
      </c>
      <c r="AA264" s="51" t="s">
        <v>115</v>
      </c>
      <c r="AB264" s="51" t="s">
        <v>94</v>
      </c>
      <c r="AC264" s="9">
        <v>24.320547064944886</v>
      </c>
      <c r="AD264" s="290" t="s">
        <v>115</v>
      </c>
      <c r="AE264" s="290" t="s">
        <v>182</v>
      </c>
      <c r="AF264" s="9">
        <v>22.767434513408002</v>
      </c>
      <c r="AG264" s="51" t="s">
        <v>1484</v>
      </c>
      <c r="AH264" s="51" t="s">
        <v>94</v>
      </c>
      <c r="AI264" s="9">
        <v>22.334320277333337</v>
      </c>
      <c r="AJ264" s="51" t="s">
        <v>115</v>
      </c>
      <c r="AK264" s="77" t="s">
        <v>73</v>
      </c>
      <c r="AL264" s="9">
        <v>21.680415075555558</v>
      </c>
      <c r="AM264" s="51" t="s">
        <v>115</v>
      </c>
      <c r="AN264" s="51" t="s">
        <v>222</v>
      </c>
      <c r="AO264" s="9">
        <v>21.009179856313729</v>
      </c>
      <c r="AP264" s="60"/>
      <c r="AQ264" s="51" t="s">
        <v>1484</v>
      </c>
      <c r="AR264" s="9">
        <v>19.936852719616002</v>
      </c>
      <c r="AS264" s="51" t="s">
        <v>1484</v>
      </c>
      <c r="AT264" s="9">
        <v>3.9873705439232006</v>
      </c>
      <c r="AU264" s="290" t="s">
        <v>115</v>
      </c>
      <c r="AV264" s="9">
        <v>4.5</v>
      </c>
      <c r="AW264" s="51" t="s">
        <v>222</v>
      </c>
      <c r="AX264" s="9">
        <v>158.8071059968</v>
      </c>
      <c r="AY264" s="290" t="s">
        <v>94</v>
      </c>
      <c r="AZ264" s="9">
        <v>2.8605279079424002</v>
      </c>
      <c r="BA264" s="290" t="s">
        <v>115</v>
      </c>
      <c r="BB264" s="290" t="s">
        <v>94</v>
      </c>
      <c r="BC264" s="9">
        <v>14.439891904305322</v>
      </c>
      <c r="BD264" s="290" t="s">
        <v>115</v>
      </c>
      <c r="BE264" s="290" t="s">
        <v>222</v>
      </c>
      <c r="BF264" s="9">
        <v>13.746641432290232</v>
      </c>
      <c r="BG264" s="290" t="s">
        <v>115</v>
      </c>
      <c r="BH264" s="51" t="s">
        <v>182</v>
      </c>
      <c r="BI264" s="9">
        <v>13.467388936712606</v>
      </c>
      <c r="BJ264" s="51" t="s">
        <v>115</v>
      </c>
      <c r="BK264" s="77" t="s">
        <v>73</v>
      </c>
      <c r="BL264" s="9">
        <v>12.671722856056473</v>
      </c>
      <c r="BM264" s="51" t="s">
        <v>1484</v>
      </c>
      <c r="BN264" s="290" t="s">
        <v>94</v>
      </c>
      <c r="BO264" s="9">
        <v>9.3350253459692318</v>
      </c>
    </row>
    <row r="265" spans="1:67" x14ac:dyDescent="0.45">
      <c r="A265" s="10">
        <v>244</v>
      </c>
      <c r="B265" s="10" t="s">
        <v>1024</v>
      </c>
      <c r="C265" s="75" t="s">
        <v>1976</v>
      </c>
      <c r="D265" s="65"/>
      <c r="E265" s="80" t="s">
        <v>2198</v>
      </c>
      <c r="F265" s="289" t="s">
        <v>2199</v>
      </c>
      <c r="G265" s="242"/>
      <c r="H265" s="10"/>
      <c r="I265" s="62">
        <v>197.57500250000001</v>
      </c>
      <c r="J265" s="62">
        <v>146.99580186</v>
      </c>
      <c r="K265" s="62">
        <v>210.21980266000003</v>
      </c>
      <c r="L265" s="49">
        <v>3473.131876259084</v>
      </c>
      <c r="M265" s="49">
        <v>3340.4658368019691</v>
      </c>
      <c r="N265" s="49">
        <v>3237.991042647584</v>
      </c>
      <c r="O265" s="61">
        <v>26.941187063411267</v>
      </c>
      <c r="P265" s="60"/>
      <c r="Q265" s="70" t="s">
        <v>36</v>
      </c>
      <c r="R265" s="9">
        <v>17.596300209999999</v>
      </c>
      <c r="S265" s="70" t="s">
        <v>1512</v>
      </c>
      <c r="T265" s="9">
        <v>16.91711131111111</v>
      </c>
      <c r="U265" s="70" t="s">
        <v>36</v>
      </c>
      <c r="V265" s="9">
        <v>9.0909999999999993</v>
      </c>
      <c r="W265" s="75" t="s">
        <v>48</v>
      </c>
      <c r="X265" s="9">
        <v>190.6720024</v>
      </c>
      <c r="Y265" s="75" t="s">
        <v>48</v>
      </c>
      <c r="Z265" s="9">
        <v>47.668000599999999</v>
      </c>
      <c r="AA265" s="70" t="s">
        <v>1512</v>
      </c>
      <c r="AB265" s="70" t="s">
        <v>48</v>
      </c>
      <c r="AC265" s="9">
        <v>24.751732785987258</v>
      </c>
      <c r="AD265" s="75" t="s">
        <v>36</v>
      </c>
      <c r="AE265" s="75" t="s">
        <v>48</v>
      </c>
      <c r="AF265" s="9">
        <v>24.44233363333333</v>
      </c>
      <c r="AG265" s="70" t="s">
        <v>1512</v>
      </c>
      <c r="AH265" s="70" t="s">
        <v>19</v>
      </c>
      <c r="AI265" s="9">
        <v>22.949258140880502</v>
      </c>
      <c r="AJ265" s="70" t="s">
        <v>1512</v>
      </c>
      <c r="AK265" s="75" t="s">
        <v>76</v>
      </c>
      <c r="AL265" s="9">
        <v>22.89332296166134</v>
      </c>
      <c r="AM265" s="70" t="s">
        <v>36</v>
      </c>
      <c r="AN265" s="70" t="s">
        <v>19</v>
      </c>
      <c r="AO265" s="9">
        <v>22.560921328947369</v>
      </c>
      <c r="AP265" s="60"/>
      <c r="AQ265" s="70" t="s">
        <v>36</v>
      </c>
      <c r="AR265" s="9">
        <v>14.869765175500001</v>
      </c>
      <c r="AS265" s="70" t="s">
        <v>1512</v>
      </c>
      <c r="AT265" s="9">
        <v>6.6643400780000004</v>
      </c>
      <c r="AU265" s="75" t="s">
        <v>36</v>
      </c>
      <c r="AV265" s="9">
        <v>3.3333333333333002</v>
      </c>
      <c r="AW265" s="70" t="s">
        <v>19</v>
      </c>
      <c r="AX265" s="9">
        <v>216.75190273000001</v>
      </c>
      <c r="AY265" s="75" t="s">
        <v>48</v>
      </c>
      <c r="AZ265" s="9">
        <v>3.6607464097272731</v>
      </c>
      <c r="BA265" s="75" t="s">
        <v>36</v>
      </c>
      <c r="BB265" s="75" t="s">
        <v>48</v>
      </c>
      <c r="BC265" s="9">
        <v>16.178557771442858</v>
      </c>
      <c r="BD265" s="75" t="s">
        <v>1512</v>
      </c>
      <c r="BE265" s="75" t="s">
        <v>48</v>
      </c>
      <c r="BF265" s="9">
        <v>15.128544967434784</v>
      </c>
      <c r="BG265" s="75" t="s">
        <v>36</v>
      </c>
      <c r="BH265" s="70" t="s">
        <v>19</v>
      </c>
      <c r="BI265" s="9">
        <v>13.428400965360002</v>
      </c>
      <c r="BJ265" s="70" t="s">
        <v>1512</v>
      </c>
      <c r="BK265" s="75" t="s">
        <v>19</v>
      </c>
      <c r="BL265" s="9">
        <v>13.030629855333334</v>
      </c>
      <c r="BM265" s="70" t="s">
        <v>36</v>
      </c>
      <c r="BN265" s="75" t="s">
        <v>76</v>
      </c>
      <c r="BO265" s="9">
        <v>12.65607772687143</v>
      </c>
    </row>
    <row r="266" spans="1:67" x14ac:dyDescent="0.45">
      <c r="A266" s="10">
        <v>245</v>
      </c>
      <c r="B266" s="10" t="s">
        <v>1021</v>
      </c>
      <c r="C266" s="288" t="s">
        <v>1993</v>
      </c>
      <c r="D266" s="65"/>
      <c r="E266" s="290" t="s">
        <v>2201</v>
      </c>
      <c r="F266" s="59" t="s">
        <v>2202</v>
      </c>
      <c r="G266" s="242"/>
      <c r="H266" s="10"/>
      <c r="I266" s="62">
        <v>154.10850195</v>
      </c>
      <c r="J266" s="62">
        <v>197.57500250000001</v>
      </c>
      <c r="K266" s="62">
        <v>189.67200240000003</v>
      </c>
      <c r="L266" s="49">
        <v>2983.2813382705572</v>
      </c>
      <c r="M266" s="49">
        <v>3218.9029485601573</v>
      </c>
      <c r="N266" s="49">
        <v>3420.7301833083684</v>
      </c>
      <c r="O266" s="61">
        <v>31.291941022591619</v>
      </c>
      <c r="P266" s="60"/>
      <c r="Q266" s="73" t="s">
        <v>1499</v>
      </c>
      <c r="R266" s="9">
        <v>14.8697651755</v>
      </c>
      <c r="S266" s="73" t="s">
        <v>1499</v>
      </c>
      <c r="T266" s="9">
        <v>9.9131767836666658</v>
      </c>
      <c r="U266" s="74" t="s">
        <v>1510</v>
      </c>
      <c r="V266" s="9">
        <v>13.333</v>
      </c>
      <c r="W266" s="288" t="s">
        <v>197</v>
      </c>
      <c r="X266" s="9">
        <v>121.204631521</v>
      </c>
      <c r="Y266" s="288" t="s">
        <v>197</v>
      </c>
      <c r="Z266" s="9">
        <v>36.72867621848485</v>
      </c>
      <c r="AA266" s="67" t="s">
        <v>20</v>
      </c>
      <c r="AB266" s="73" t="s">
        <v>197</v>
      </c>
      <c r="AC266" s="9">
        <v>16.791463839421485</v>
      </c>
      <c r="AD266" s="288" t="s">
        <v>1499</v>
      </c>
      <c r="AE266" s="288" t="s">
        <v>197</v>
      </c>
      <c r="AF266" s="9">
        <v>16.325578822427534</v>
      </c>
      <c r="AG266" s="57" t="s">
        <v>34</v>
      </c>
      <c r="AH266" s="73" t="s">
        <v>197</v>
      </c>
      <c r="AI266" s="9">
        <v>16.168425952575756</v>
      </c>
      <c r="AJ266" s="74" t="s">
        <v>1510</v>
      </c>
      <c r="AK266" s="288" t="s">
        <v>197</v>
      </c>
      <c r="AL266" s="9">
        <v>15.966405750555554</v>
      </c>
      <c r="AM266" s="71" t="s">
        <v>1518</v>
      </c>
      <c r="AN266" s="73" t="s">
        <v>197</v>
      </c>
      <c r="AO266" s="9">
        <v>15.153014133677535</v>
      </c>
      <c r="AP266" s="60"/>
      <c r="AQ266" s="73" t="s">
        <v>1499</v>
      </c>
      <c r="AR266" s="9">
        <v>11.81841683689</v>
      </c>
      <c r="AS266" s="74" t="s">
        <v>1510</v>
      </c>
      <c r="AT266" s="9">
        <v>4.5068210507000002</v>
      </c>
      <c r="AU266" s="76" t="s">
        <v>20</v>
      </c>
      <c r="AV266" s="9">
        <v>4.3333333333333002</v>
      </c>
      <c r="AW266" s="73" t="s">
        <v>197</v>
      </c>
      <c r="AX266" s="9">
        <v>157.2660209773</v>
      </c>
      <c r="AY266" s="288" t="s">
        <v>197</v>
      </c>
      <c r="AZ266" s="9">
        <v>2.0968802796973334</v>
      </c>
      <c r="BA266" s="76" t="s">
        <v>20</v>
      </c>
      <c r="BB266" s="288" t="s">
        <v>197</v>
      </c>
      <c r="BC266" s="9">
        <v>10.483603975663971</v>
      </c>
      <c r="BD266" s="242" t="s">
        <v>34</v>
      </c>
      <c r="BE266" s="288" t="s">
        <v>197</v>
      </c>
      <c r="BF266" s="9">
        <v>9.5688653930978731</v>
      </c>
      <c r="BG266" s="291" t="s">
        <v>1510</v>
      </c>
      <c r="BH266" s="73" t="s">
        <v>197</v>
      </c>
      <c r="BI266" s="9">
        <v>9.4345371773645166</v>
      </c>
      <c r="BJ266" s="73" t="s">
        <v>1499</v>
      </c>
      <c r="BK266" s="288" t="s">
        <v>197</v>
      </c>
      <c r="BL266" s="9">
        <v>9.2039031355585834</v>
      </c>
      <c r="BM266" s="71" t="s">
        <v>1518</v>
      </c>
      <c r="BN266" s="288" t="s">
        <v>197</v>
      </c>
      <c r="BO266" s="9">
        <v>8.623515966197532</v>
      </c>
    </row>
    <row r="267" spans="1:67" x14ac:dyDescent="0.45">
      <c r="A267" s="10">
        <v>246</v>
      </c>
      <c r="B267" s="10" t="s">
        <v>1018</v>
      </c>
      <c r="C267" s="80" t="s">
        <v>2122</v>
      </c>
      <c r="D267" s="288" t="s">
        <v>2161</v>
      </c>
      <c r="E267" s="58" t="s">
        <v>2242</v>
      </c>
      <c r="F267" s="64" t="s">
        <v>2243</v>
      </c>
      <c r="G267" s="63" t="s">
        <v>2220</v>
      </c>
      <c r="H267" s="10"/>
      <c r="I267" s="62">
        <v>102.73900130000001</v>
      </c>
      <c r="J267" s="62">
        <v>85.352401080000007</v>
      </c>
      <c r="K267" s="62">
        <v>120.12560152</v>
      </c>
      <c r="L267" s="49">
        <v>1040.305749893771</v>
      </c>
      <c r="M267" s="49">
        <v>1035.2798756363304</v>
      </c>
      <c r="N267" s="49">
        <v>1031.2766640148352</v>
      </c>
      <c r="O267" s="61">
        <v>9.4467092077272348</v>
      </c>
      <c r="P267" s="60"/>
      <c r="Q267" s="55" t="s">
        <v>53</v>
      </c>
      <c r="R267" s="9">
        <v>8.7054250975000009</v>
      </c>
      <c r="S267" s="67" t="s">
        <v>66</v>
      </c>
      <c r="T267" s="9">
        <v>8.1643400780000004</v>
      </c>
      <c r="U267" s="67" t="s">
        <v>66</v>
      </c>
      <c r="V267" s="9">
        <v>8</v>
      </c>
      <c r="W267" s="56" t="s">
        <v>282</v>
      </c>
      <c r="X267" s="9">
        <v>44.150380546000001</v>
      </c>
      <c r="Y267" s="64" t="s">
        <v>52</v>
      </c>
      <c r="Z267" s="9">
        <v>27.113321753571434</v>
      </c>
      <c r="AA267" s="67" t="s">
        <v>66</v>
      </c>
      <c r="AB267" s="15" t="s">
        <v>52</v>
      </c>
      <c r="AC267" s="9">
        <v>10.889878538184931</v>
      </c>
      <c r="AD267" s="76" t="s">
        <v>66</v>
      </c>
      <c r="AE267" s="56" t="s">
        <v>282</v>
      </c>
      <c r="AF267" s="9">
        <v>10.195886635347826</v>
      </c>
      <c r="AG267" s="67" t="s">
        <v>66</v>
      </c>
      <c r="AH267" s="15" t="s">
        <v>1508</v>
      </c>
      <c r="AI267" s="9">
        <v>10.09815733899371</v>
      </c>
      <c r="AJ267" s="67" t="s">
        <v>66</v>
      </c>
      <c r="AK267" s="76" t="s">
        <v>91</v>
      </c>
      <c r="AL267" s="9">
        <v>9.6348507846153844</v>
      </c>
      <c r="AM267" s="55" t="s">
        <v>53</v>
      </c>
      <c r="AN267" s="15" t="s">
        <v>52</v>
      </c>
      <c r="AO267" s="9">
        <v>9.5359090501655643</v>
      </c>
      <c r="AP267" s="60"/>
      <c r="AQ267" s="55" t="s">
        <v>53</v>
      </c>
      <c r="AR267" s="9">
        <v>7.0102315760500007</v>
      </c>
      <c r="AS267" s="67" t="s">
        <v>66</v>
      </c>
      <c r="AT267" s="9">
        <v>3.6712140338000006</v>
      </c>
      <c r="AU267" s="58" t="s">
        <v>53</v>
      </c>
      <c r="AV267" s="9">
        <v>2.3333333333333002</v>
      </c>
      <c r="AW267" s="15" t="s">
        <v>52</v>
      </c>
      <c r="AX267" s="9">
        <v>87.814456098500017</v>
      </c>
      <c r="AY267" s="56" t="s">
        <v>282</v>
      </c>
      <c r="AZ267" s="9">
        <v>1.268788771328889</v>
      </c>
      <c r="BA267" s="76" t="s">
        <v>66</v>
      </c>
      <c r="BB267" s="64" t="s">
        <v>52</v>
      </c>
      <c r="BC267" s="9">
        <v>6.0085263133750013</v>
      </c>
      <c r="BD267" s="76" t="s">
        <v>66</v>
      </c>
      <c r="BE267" s="56" t="s">
        <v>282</v>
      </c>
      <c r="BF267" s="9">
        <v>5.9445876795872348</v>
      </c>
      <c r="BG267" s="76" t="s">
        <v>66</v>
      </c>
      <c r="BH267" s="67" t="s">
        <v>91</v>
      </c>
      <c r="BI267" s="9">
        <v>5.5467472915744684</v>
      </c>
      <c r="BJ267" s="67" t="s">
        <v>66</v>
      </c>
      <c r="BK267" s="64" t="s">
        <v>1508</v>
      </c>
      <c r="BL267" s="9">
        <v>5.2930225543214293</v>
      </c>
      <c r="BM267" s="55" t="s">
        <v>53</v>
      </c>
      <c r="BN267" s="64" t="s">
        <v>52</v>
      </c>
      <c r="BO267" s="9">
        <v>5.0940894148064526</v>
      </c>
    </row>
    <row r="268" spans="1:67" x14ac:dyDescent="0.45">
      <c r="A268" s="10">
        <v>247</v>
      </c>
      <c r="B268" s="10" t="s">
        <v>1017</v>
      </c>
      <c r="C268" s="80" t="s">
        <v>2122</v>
      </c>
      <c r="D268" s="288" t="s">
        <v>2161</v>
      </c>
      <c r="E268" s="58" t="s">
        <v>2242</v>
      </c>
      <c r="F268" s="64" t="s">
        <v>2243</v>
      </c>
      <c r="G268" s="63" t="s">
        <v>2220</v>
      </c>
      <c r="H268" s="10"/>
      <c r="I268" s="62">
        <v>134.35100170000001</v>
      </c>
      <c r="J268" s="62">
        <v>116.96440148000001</v>
      </c>
      <c r="K268" s="62">
        <v>147.78610187000001</v>
      </c>
      <c r="L268" s="49">
        <v>1766.3817020405859</v>
      </c>
      <c r="M268" s="49">
        <v>1753.6872200299167</v>
      </c>
      <c r="N268" s="49">
        <v>1743.5973527311185</v>
      </c>
      <c r="O268" s="61">
        <v>15.475616706658645</v>
      </c>
      <c r="P268" s="60"/>
      <c r="Q268" s="55" t="s">
        <v>53</v>
      </c>
      <c r="R268" s="9">
        <v>11.076325127500001</v>
      </c>
      <c r="S268" s="67" t="s">
        <v>66</v>
      </c>
      <c r="T268" s="9">
        <v>10.061060102000001</v>
      </c>
      <c r="U268" s="67" t="s">
        <v>66</v>
      </c>
      <c r="V268" s="9">
        <v>8</v>
      </c>
      <c r="W268" s="80" t="s">
        <v>1490</v>
      </c>
      <c r="X268" s="9">
        <v>81.610601020000004</v>
      </c>
      <c r="Y268" s="64" t="s">
        <v>52</v>
      </c>
      <c r="Z268" s="9">
        <v>35.016321853571434</v>
      </c>
      <c r="AA268" s="67" t="s">
        <v>66</v>
      </c>
      <c r="AB268" s="15" t="s">
        <v>52</v>
      </c>
      <c r="AC268" s="9">
        <v>13.650515559417807</v>
      </c>
      <c r="AD268" s="76" t="s">
        <v>66</v>
      </c>
      <c r="AE268" s="80" t="s">
        <v>1490</v>
      </c>
      <c r="AF268" s="9">
        <v>13.195637137671234</v>
      </c>
      <c r="AG268" s="67" t="s">
        <v>66</v>
      </c>
      <c r="AH268" s="52" t="s">
        <v>282</v>
      </c>
      <c r="AI268" s="9">
        <v>12.958500583347828</v>
      </c>
      <c r="AJ268" s="55" t="s">
        <v>53</v>
      </c>
      <c r="AK268" s="80" t="s">
        <v>1490</v>
      </c>
      <c r="AL268" s="9">
        <v>12.231448808705355</v>
      </c>
      <c r="AM268" s="67" t="s">
        <v>66</v>
      </c>
      <c r="AN268" s="67" t="s">
        <v>91</v>
      </c>
      <c r="AO268" s="9">
        <v>12.20958384886878</v>
      </c>
      <c r="AP268" s="60"/>
      <c r="AQ268" s="55" t="s">
        <v>53</v>
      </c>
      <c r="AR268" s="9">
        <v>8.8595335994500015</v>
      </c>
      <c r="AS268" s="67" t="s">
        <v>66</v>
      </c>
      <c r="AT268" s="9">
        <v>4.4931260442000003</v>
      </c>
      <c r="AU268" s="58" t="s">
        <v>53</v>
      </c>
      <c r="AV268" s="9">
        <v>2.3333333333333002</v>
      </c>
      <c r="AW268" s="15" t="s">
        <v>52</v>
      </c>
      <c r="AX268" s="9">
        <v>114.52659643650001</v>
      </c>
      <c r="AY268" s="56" t="s">
        <v>282</v>
      </c>
      <c r="AZ268" s="9">
        <v>1.6523477095155557</v>
      </c>
      <c r="BA268" s="76" t="s">
        <v>66</v>
      </c>
      <c r="BB268" s="64" t="s">
        <v>52</v>
      </c>
      <c r="BC268" s="9">
        <v>7.549611332875001</v>
      </c>
      <c r="BD268" s="76" t="s">
        <v>66</v>
      </c>
      <c r="BE268" s="56" t="s">
        <v>282</v>
      </c>
      <c r="BF268" s="9">
        <v>7.4659992733063829</v>
      </c>
      <c r="BG268" s="76" t="s">
        <v>66</v>
      </c>
      <c r="BH268" s="71" t="s">
        <v>1490</v>
      </c>
      <c r="BI268" s="9">
        <v>6.9638737340000008</v>
      </c>
      <c r="BJ268" s="67" t="s">
        <v>66</v>
      </c>
      <c r="BK268" s="76" t="s">
        <v>91</v>
      </c>
      <c r="BL268" s="9">
        <v>6.9457464582127662</v>
      </c>
      <c r="BM268" s="55" t="s">
        <v>53</v>
      </c>
      <c r="BN268" s="64" t="s">
        <v>52</v>
      </c>
      <c r="BO268" s="9">
        <v>6.5523204010000011</v>
      </c>
    </row>
    <row r="269" spans="1:67" x14ac:dyDescent="0.45">
      <c r="A269" s="10">
        <v>248</v>
      </c>
      <c r="B269" s="10" t="s">
        <v>293</v>
      </c>
      <c r="C269" s="56" t="s">
        <v>2159</v>
      </c>
      <c r="D269" s="58" t="s">
        <v>1903</v>
      </c>
      <c r="E269" s="80" t="s">
        <v>2314</v>
      </c>
      <c r="F269" s="64" t="s">
        <v>2315</v>
      </c>
      <c r="G269" s="242" t="s">
        <v>1925</v>
      </c>
      <c r="H269" s="10"/>
      <c r="I269" s="62">
        <v>210.21980266000003</v>
      </c>
      <c r="J269" s="62">
        <v>175.44660222000002</v>
      </c>
      <c r="K269" s="62">
        <v>189.67200240000003</v>
      </c>
      <c r="L269" s="49">
        <v>3834.844157808956</v>
      </c>
      <c r="M269" s="49">
        <v>3657.7544167702699</v>
      </c>
      <c r="N269" s="49">
        <v>3521.989058565915</v>
      </c>
      <c r="O269" s="61">
        <v>28.310353098553954</v>
      </c>
      <c r="P269" s="60"/>
      <c r="Q269" s="52" t="s">
        <v>249</v>
      </c>
      <c r="R269" s="9">
        <v>21.181101055360003</v>
      </c>
      <c r="S269" s="52" t="s">
        <v>249</v>
      </c>
      <c r="T269" s="9">
        <v>17.650917546133336</v>
      </c>
      <c r="U269" s="67" t="s">
        <v>66</v>
      </c>
      <c r="V269" s="9">
        <v>8</v>
      </c>
      <c r="W269" s="75" t="s">
        <v>19</v>
      </c>
      <c r="X269" s="9">
        <v>148.15386186200001</v>
      </c>
      <c r="Y269" s="56" t="s">
        <v>87</v>
      </c>
      <c r="Z269" s="9">
        <v>55.274731128695663</v>
      </c>
      <c r="AA269" s="67" t="s">
        <v>66</v>
      </c>
      <c r="AB269" s="52" t="s">
        <v>87</v>
      </c>
      <c r="AC269" s="9">
        <v>23.062817837162164</v>
      </c>
      <c r="AD269" s="56" t="s">
        <v>249</v>
      </c>
      <c r="AE269" s="56" t="s">
        <v>87</v>
      </c>
      <c r="AF269" s="9">
        <v>22.485262308138552</v>
      </c>
      <c r="AG269" s="67" t="s">
        <v>66</v>
      </c>
      <c r="AH269" s="15" t="s">
        <v>52</v>
      </c>
      <c r="AI269" s="9">
        <v>22.435836903458906</v>
      </c>
      <c r="AJ269" s="52" t="s">
        <v>249</v>
      </c>
      <c r="AK269" s="64" t="s">
        <v>52</v>
      </c>
      <c r="AL269" s="9">
        <v>22.112816350204682</v>
      </c>
      <c r="AM269" s="67" t="s">
        <v>66</v>
      </c>
      <c r="AN269" s="67" t="s">
        <v>91</v>
      </c>
      <c r="AO269" s="9">
        <v>21.81333817853394</v>
      </c>
      <c r="AP269" s="60"/>
      <c r="AQ269" s="52" t="s">
        <v>249</v>
      </c>
      <c r="AR269" s="9">
        <v>20.676573528976004</v>
      </c>
      <c r="AS269" s="67" t="s">
        <v>66</v>
      </c>
      <c r="AT269" s="9">
        <v>7.5588578429920013</v>
      </c>
      <c r="AU269" s="56" t="s">
        <v>249</v>
      </c>
      <c r="AV269" s="9">
        <v>2.6666666666666998</v>
      </c>
      <c r="AW269" s="70" t="s">
        <v>19</v>
      </c>
      <c r="AX269" s="9">
        <v>192.30002042060002</v>
      </c>
      <c r="AY269" s="56" t="s">
        <v>87</v>
      </c>
      <c r="AZ269" s="9">
        <v>2.9994808377236368</v>
      </c>
      <c r="BA269" s="56" t="s">
        <v>249</v>
      </c>
      <c r="BB269" s="56" t="s">
        <v>87</v>
      </c>
      <c r="BC269" s="9">
        <v>14.202214524231678</v>
      </c>
      <c r="BD269" s="56" t="s">
        <v>249</v>
      </c>
      <c r="BE269" s="64" t="s">
        <v>52</v>
      </c>
      <c r="BF269" s="9">
        <v>13.194706481696883</v>
      </c>
      <c r="BG269" s="76" t="s">
        <v>66</v>
      </c>
      <c r="BH269" s="52" t="s">
        <v>87</v>
      </c>
      <c r="BI269" s="9">
        <v>13.082106552880001</v>
      </c>
      <c r="BJ269" s="52" t="s">
        <v>249</v>
      </c>
      <c r="BK269" s="76" t="s">
        <v>91</v>
      </c>
      <c r="BL269" s="9">
        <v>12.983817530229373</v>
      </c>
      <c r="BM269" s="52" t="s">
        <v>249</v>
      </c>
      <c r="BN269" s="75" t="s">
        <v>19</v>
      </c>
      <c r="BO269" s="9">
        <v>12.873088893882583</v>
      </c>
    </row>
    <row r="270" spans="1:67" x14ac:dyDescent="0.45">
      <c r="A270" s="10">
        <v>249</v>
      </c>
      <c r="B270" s="10" t="s">
        <v>1015</v>
      </c>
      <c r="C270" s="287" t="s">
        <v>2143</v>
      </c>
      <c r="D270" s="65"/>
      <c r="E270" s="56" t="s">
        <v>2285</v>
      </c>
      <c r="F270" s="79" t="s">
        <v>2129</v>
      </c>
      <c r="G270" s="58" t="s">
        <v>2286</v>
      </c>
      <c r="H270" s="10"/>
      <c r="I270" s="62">
        <v>164.38240208000002</v>
      </c>
      <c r="J270" s="62">
        <v>256.84750325000005</v>
      </c>
      <c r="K270" s="62">
        <v>197.57500250000001</v>
      </c>
      <c r="L270" s="49">
        <v>3703.0450422850058</v>
      </c>
      <c r="M270" s="49">
        <v>4113.1553364195261</v>
      </c>
      <c r="N270" s="49">
        <v>4473.7118154731361</v>
      </c>
      <c r="O270" s="61">
        <v>40.37613629777286</v>
      </c>
      <c r="P270" s="60"/>
      <c r="Q270" s="66" t="s">
        <v>88</v>
      </c>
      <c r="R270" s="9">
        <v>13.328680156000001</v>
      </c>
      <c r="S270" s="66" t="s">
        <v>88</v>
      </c>
      <c r="T270" s="9">
        <v>12.11698196</v>
      </c>
      <c r="U270" s="57" t="s">
        <v>34</v>
      </c>
      <c r="V270" s="9">
        <v>10.91</v>
      </c>
      <c r="W270" s="242" t="s">
        <v>295</v>
      </c>
      <c r="X270" s="9">
        <v>119.35532949760001</v>
      </c>
      <c r="Y270" s="242" t="s">
        <v>295</v>
      </c>
      <c r="Z270" s="9">
        <v>44.205677591703704</v>
      </c>
      <c r="AA270" s="57" t="s">
        <v>34</v>
      </c>
      <c r="AB270" s="16" t="s">
        <v>229</v>
      </c>
      <c r="AC270" s="9">
        <v>20.26100358821266</v>
      </c>
      <c r="AD270" s="78" t="s">
        <v>88</v>
      </c>
      <c r="AE270" s="287" t="s">
        <v>229</v>
      </c>
      <c r="AF270" s="9">
        <v>18.980355955967124</v>
      </c>
      <c r="AG270" s="57" t="s">
        <v>34</v>
      </c>
      <c r="AH270" s="57" t="s">
        <v>295</v>
      </c>
      <c r="AI270" s="9">
        <v>18.640883019479364</v>
      </c>
      <c r="AJ270" s="66" t="s">
        <v>88</v>
      </c>
      <c r="AK270" s="242" t="s">
        <v>295</v>
      </c>
      <c r="AL270" s="9">
        <v>17.566005746515721</v>
      </c>
      <c r="AM270" s="57" t="s">
        <v>34</v>
      </c>
      <c r="AN270" s="73" t="s">
        <v>197</v>
      </c>
      <c r="AO270" s="9">
        <v>16.921845295442424</v>
      </c>
      <c r="AP270" s="60"/>
      <c r="AQ270" s="57" t="s">
        <v>34</v>
      </c>
      <c r="AR270" s="9">
        <v>11.257461889792001</v>
      </c>
      <c r="AS270" s="57" t="s">
        <v>34</v>
      </c>
      <c r="AT270" s="9">
        <v>3.7524872965973337</v>
      </c>
      <c r="AU270" s="242" t="s">
        <v>2487</v>
      </c>
      <c r="AV270" s="9">
        <v>3.3333333333333002</v>
      </c>
      <c r="AW270" s="57" t="s">
        <v>295</v>
      </c>
      <c r="AX270" s="9">
        <v>154.86192834688003</v>
      </c>
      <c r="AY270" s="242" t="s">
        <v>295</v>
      </c>
      <c r="AZ270" s="9">
        <v>2.3824912053366161</v>
      </c>
      <c r="BA270" s="242" t="s">
        <v>34</v>
      </c>
      <c r="BB270" s="242" t="s">
        <v>295</v>
      </c>
      <c r="BC270" s="9">
        <v>11.123679542952589</v>
      </c>
      <c r="BD270" s="78" t="s">
        <v>88</v>
      </c>
      <c r="BE270" s="242" t="s">
        <v>295</v>
      </c>
      <c r="BF270" s="9">
        <v>10.920406670136588</v>
      </c>
      <c r="BG270" s="242" t="s">
        <v>34</v>
      </c>
      <c r="BH270" s="16" t="s">
        <v>229</v>
      </c>
      <c r="BI270" s="9">
        <v>10.636772234619588</v>
      </c>
      <c r="BJ270" s="66" t="s">
        <v>88</v>
      </c>
      <c r="BK270" s="287" t="s">
        <v>229</v>
      </c>
      <c r="BL270" s="9">
        <v>10.437812844515864</v>
      </c>
      <c r="BM270" s="57" t="s">
        <v>34</v>
      </c>
      <c r="BN270" s="288" t="s">
        <v>197</v>
      </c>
      <c r="BO270" s="9">
        <v>9.5461316566400019</v>
      </c>
    </row>
    <row r="271" spans="1:67" x14ac:dyDescent="0.45">
      <c r="A271" s="10">
        <v>250</v>
      </c>
      <c r="B271" s="10" t="s">
        <v>1012</v>
      </c>
      <c r="C271" s="287" t="s">
        <v>2107</v>
      </c>
      <c r="D271" s="56" t="s">
        <v>2025</v>
      </c>
      <c r="E271" s="288" t="s">
        <v>2141</v>
      </c>
      <c r="F271" s="58" t="s">
        <v>2200</v>
      </c>
      <c r="G271" s="289" t="s">
        <v>2118</v>
      </c>
      <c r="H271" s="10"/>
      <c r="I271" s="62">
        <v>200.73620254000002</v>
      </c>
      <c r="J271" s="62">
        <v>204.68770259000001</v>
      </c>
      <c r="K271" s="62">
        <v>180.97870229</v>
      </c>
      <c r="L271" s="49">
        <v>3863.5391260255456</v>
      </c>
      <c r="M271" s="49">
        <v>3809.7512208293388</v>
      </c>
      <c r="N271" s="49">
        <v>3767.2605576672117</v>
      </c>
      <c r="O271" s="61">
        <v>30.749973382991495</v>
      </c>
      <c r="P271" s="60"/>
      <c r="Q271" s="70" t="s">
        <v>2413</v>
      </c>
      <c r="R271" s="9">
        <v>19.066258228600002</v>
      </c>
      <c r="S271" s="53" t="s">
        <v>185</v>
      </c>
      <c r="T271" s="9">
        <v>15.050613924625003</v>
      </c>
      <c r="U271" s="57" t="s">
        <v>34</v>
      </c>
      <c r="V271" s="9">
        <v>10.91</v>
      </c>
      <c r="W271" s="79" t="s">
        <v>9</v>
      </c>
      <c r="X271" s="9">
        <v>181.66258228600003</v>
      </c>
      <c r="Y271" s="287" t="s">
        <v>1517</v>
      </c>
      <c r="Z271" s="9">
        <v>54.698774685800004</v>
      </c>
      <c r="AA271" s="53" t="s">
        <v>185</v>
      </c>
      <c r="AB271" s="70" t="s">
        <v>19</v>
      </c>
      <c r="AC271" s="9">
        <v>21.028469635308991</v>
      </c>
      <c r="AD271" s="59" t="s">
        <v>185</v>
      </c>
      <c r="AE271" s="79" t="s">
        <v>9</v>
      </c>
      <c r="AF271" s="9">
        <v>20.883834143832438</v>
      </c>
      <c r="AG271" s="70" t="s">
        <v>1501</v>
      </c>
      <c r="AH271" s="70" t="s">
        <v>19</v>
      </c>
      <c r="AI271" s="9">
        <v>20.617837941074832</v>
      </c>
      <c r="AJ271" s="16" t="s">
        <v>1506</v>
      </c>
      <c r="AK271" s="75" t="s">
        <v>19</v>
      </c>
      <c r="AL271" s="9">
        <v>20.617837941074832</v>
      </c>
      <c r="AM271" s="70" t="s">
        <v>1501</v>
      </c>
      <c r="AN271" s="72" t="s">
        <v>9</v>
      </c>
      <c r="AO271" s="9">
        <v>20.46275259001299</v>
      </c>
      <c r="AP271" s="60"/>
      <c r="AQ271" s="70" t="s">
        <v>2413</v>
      </c>
      <c r="AR271" s="9">
        <v>15.091681418308003</v>
      </c>
      <c r="AS271" s="53" t="s">
        <v>185</v>
      </c>
      <c r="AT271" s="9">
        <v>5.0667486077850006</v>
      </c>
      <c r="AU271" s="242" t="s">
        <v>34</v>
      </c>
      <c r="AV271" s="9">
        <v>3.3333333333333002</v>
      </c>
      <c r="AW271" s="70" t="s">
        <v>19</v>
      </c>
      <c r="AX271" s="9">
        <v>220.20393317368004</v>
      </c>
      <c r="AY271" s="75" t="s">
        <v>19</v>
      </c>
      <c r="AZ271" s="9">
        <v>2.7525491646710005</v>
      </c>
      <c r="BA271" s="242" t="s">
        <v>34</v>
      </c>
      <c r="BB271" s="75" t="s">
        <v>19</v>
      </c>
      <c r="BC271" s="9">
        <v>12.468407737212802</v>
      </c>
      <c r="BD271" s="75" t="s">
        <v>1501</v>
      </c>
      <c r="BE271" s="75" t="s">
        <v>19</v>
      </c>
      <c r="BF271" s="9">
        <v>11.97163701150839</v>
      </c>
      <c r="BG271" s="287" t="s">
        <v>1506</v>
      </c>
      <c r="BH271" s="70" t="s">
        <v>19</v>
      </c>
      <c r="BI271" s="9">
        <v>11.97163701150839</v>
      </c>
      <c r="BJ271" s="57" t="s">
        <v>34</v>
      </c>
      <c r="BK271" s="287" t="s">
        <v>1517</v>
      </c>
      <c r="BL271" s="9">
        <v>11.704421034829716</v>
      </c>
      <c r="BM271" s="53" t="s">
        <v>185</v>
      </c>
      <c r="BN271" s="75" t="s">
        <v>19</v>
      </c>
      <c r="BO271" s="9">
        <v>11.586057230993941</v>
      </c>
    </row>
    <row r="272" spans="1:67" x14ac:dyDescent="0.45">
      <c r="A272" s="10">
        <v>251</v>
      </c>
      <c r="B272" s="10" t="s">
        <v>1009</v>
      </c>
      <c r="C272" s="79" t="s">
        <v>2129</v>
      </c>
      <c r="D272" s="289" t="s">
        <v>1887</v>
      </c>
      <c r="E272" s="63" t="s">
        <v>2255</v>
      </c>
      <c r="F272" s="58" t="s">
        <v>2256</v>
      </c>
      <c r="G272" s="242"/>
      <c r="H272" s="10"/>
      <c r="I272" s="62">
        <v>177.81750225000002</v>
      </c>
      <c r="J272" s="62">
        <v>177.81750225000002</v>
      </c>
      <c r="K272" s="62">
        <v>189.67200240000003</v>
      </c>
      <c r="L272" s="49">
        <v>3265.6028988496882</v>
      </c>
      <c r="M272" s="49">
        <v>3300.918691048048</v>
      </c>
      <c r="N272" s="49">
        <v>3329.4461109423987</v>
      </c>
      <c r="O272" s="61">
        <v>28.635167714093978</v>
      </c>
      <c r="P272" s="60"/>
      <c r="Q272" s="57" t="s">
        <v>101</v>
      </c>
      <c r="R272" s="9">
        <v>22.338100270000002</v>
      </c>
      <c r="S272" s="57" t="s">
        <v>101</v>
      </c>
      <c r="T272" s="9">
        <v>13.961312668750001</v>
      </c>
      <c r="U272" s="51" t="s">
        <v>74</v>
      </c>
      <c r="V272" s="9">
        <v>13.635999999999999</v>
      </c>
      <c r="W272" s="64" t="s">
        <v>112</v>
      </c>
      <c r="X272" s="9">
        <v>134.36312668750003</v>
      </c>
      <c r="Y272" s="64" t="s">
        <v>112</v>
      </c>
      <c r="Z272" s="9">
        <v>35.358717549342117</v>
      </c>
      <c r="AA272" s="57" t="s">
        <v>101</v>
      </c>
      <c r="AB272" s="57" t="s">
        <v>82</v>
      </c>
      <c r="AC272" s="9">
        <v>21.08382607971312</v>
      </c>
      <c r="AD272" s="242" t="s">
        <v>101</v>
      </c>
      <c r="AE272" s="64" t="s">
        <v>112</v>
      </c>
      <c r="AF272" s="9">
        <v>19.381988571833336</v>
      </c>
      <c r="AG272" s="57" t="s">
        <v>101</v>
      </c>
      <c r="AH272" s="72" t="s">
        <v>264</v>
      </c>
      <c r="AI272" s="9">
        <v>19.329665758005895</v>
      </c>
      <c r="AJ272" s="51" t="s">
        <v>74</v>
      </c>
      <c r="AK272" s="242" t="s">
        <v>82</v>
      </c>
      <c r="AL272" s="9">
        <v>19.185121368298972</v>
      </c>
      <c r="AM272" s="57" t="s">
        <v>101</v>
      </c>
      <c r="AN272" s="14" t="s">
        <v>63</v>
      </c>
      <c r="AO272" s="9">
        <v>18.607820983962267</v>
      </c>
      <c r="AP272" s="60"/>
      <c r="AQ272" s="57" t="s">
        <v>101</v>
      </c>
      <c r="AR272" s="9">
        <v>23.191624280800003</v>
      </c>
      <c r="AS272" s="57" t="s">
        <v>101</v>
      </c>
      <c r="AT272" s="9">
        <v>5.7979060702000007</v>
      </c>
      <c r="AU272" s="290" t="s">
        <v>74</v>
      </c>
      <c r="AV272" s="9">
        <v>3.6666666666666998</v>
      </c>
      <c r="AW272" s="15" t="s">
        <v>112</v>
      </c>
      <c r="AX272" s="9">
        <v>174.37206469375002</v>
      </c>
      <c r="AY272" s="242" t="s">
        <v>82</v>
      </c>
      <c r="AZ272" s="9">
        <v>2.2877797559909094</v>
      </c>
      <c r="BA272" s="242" t="s">
        <v>101</v>
      </c>
      <c r="BB272" s="242" t="s">
        <v>82</v>
      </c>
      <c r="BC272" s="9">
        <v>12.006353337922414</v>
      </c>
      <c r="BD272" s="242" t="s">
        <v>101</v>
      </c>
      <c r="BE272" s="64" t="s">
        <v>112</v>
      </c>
      <c r="BF272" s="9">
        <v>11.890947948159639</v>
      </c>
      <c r="BG272" s="242" t="s">
        <v>101</v>
      </c>
      <c r="BH272" s="14" t="s">
        <v>63</v>
      </c>
      <c r="BI272" s="9">
        <v>10.825643386852741</v>
      </c>
      <c r="BJ272" s="57" t="s">
        <v>101</v>
      </c>
      <c r="BK272" s="79" t="s">
        <v>264</v>
      </c>
      <c r="BL272" s="9">
        <v>10.78528763264535</v>
      </c>
      <c r="BM272" s="51" t="s">
        <v>74</v>
      </c>
      <c r="BN272" s="242" t="s">
        <v>82</v>
      </c>
      <c r="BO272" s="9">
        <v>9.9827019184453132</v>
      </c>
    </row>
    <row r="273" spans="1:67" x14ac:dyDescent="0.45">
      <c r="A273" s="10">
        <v>252</v>
      </c>
      <c r="B273" s="10" t="s">
        <v>1007</v>
      </c>
      <c r="C273" s="79" t="s">
        <v>1983</v>
      </c>
      <c r="D273" s="65"/>
      <c r="E273" s="63" t="s">
        <v>2265</v>
      </c>
      <c r="F273" s="80" t="s">
        <v>2266</v>
      </c>
      <c r="G273" s="242"/>
      <c r="H273" s="10"/>
      <c r="I273" s="62">
        <v>109.85170139</v>
      </c>
      <c r="J273" s="62">
        <v>86.142701090000003</v>
      </c>
      <c r="K273" s="62">
        <v>106.69050135000001</v>
      </c>
      <c r="L273" s="49">
        <v>1053.1225406338845</v>
      </c>
      <c r="M273" s="49">
        <v>1006.3924097830217</v>
      </c>
      <c r="N273" s="49">
        <v>970.50573950317141</v>
      </c>
      <c r="O273" s="61">
        <v>8.4616947273245451</v>
      </c>
      <c r="P273" s="60"/>
      <c r="Q273" s="72" t="s">
        <v>225</v>
      </c>
      <c r="R273" s="9">
        <v>6.27288166672</v>
      </c>
      <c r="S273" s="15" t="s">
        <v>288</v>
      </c>
      <c r="T273" s="9">
        <v>8.0746825810833336</v>
      </c>
      <c r="U273" s="72" t="s">
        <v>225</v>
      </c>
      <c r="V273" s="9">
        <v>12.727</v>
      </c>
      <c r="W273" s="79" t="s">
        <v>2398</v>
      </c>
      <c r="X273" s="9">
        <v>60.319918750599996</v>
      </c>
      <c r="Y273" s="79" t="s">
        <v>23</v>
      </c>
      <c r="Z273" s="9">
        <v>23.199968750230767</v>
      </c>
      <c r="AA273" s="15" t="s">
        <v>288</v>
      </c>
      <c r="AB273" s="72" t="s">
        <v>23</v>
      </c>
      <c r="AC273" s="9">
        <v>13.249122586317982</v>
      </c>
      <c r="AD273" s="79" t="s">
        <v>225</v>
      </c>
      <c r="AE273" s="79" t="s">
        <v>23</v>
      </c>
      <c r="AF273" s="9">
        <v>12.670929385606124</v>
      </c>
      <c r="AG273" s="15" t="s">
        <v>288</v>
      </c>
      <c r="AH273" s="72" t="s">
        <v>33</v>
      </c>
      <c r="AI273" s="9">
        <v>11.313857489440075</v>
      </c>
      <c r="AJ273" s="72" t="s">
        <v>225</v>
      </c>
      <c r="AK273" s="79" t="s">
        <v>33</v>
      </c>
      <c r="AL273" s="9">
        <v>10.566815199310216</v>
      </c>
      <c r="AM273" s="15" t="s">
        <v>288</v>
      </c>
      <c r="AN273" s="16" t="s">
        <v>203</v>
      </c>
      <c r="AO273" s="9">
        <v>10.138051131254846</v>
      </c>
      <c r="AP273" s="60"/>
      <c r="AQ273" s="72" t="s">
        <v>225</v>
      </c>
      <c r="AR273" s="9">
        <v>5.2842163542099998</v>
      </c>
      <c r="AS273" s="15" t="s">
        <v>288</v>
      </c>
      <c r="AT273" s="9">
        <v>2.2850901475875003</v>
      </c>
      <c r="AU273" s="79" t="s">
        <v>225</v>
      </c>
      <c r="AV273" s="9">
        <v>3.6666666666666998</v>
      </c>
      <c r="AW273" s="72" t="s">
        <v>2397</v>
      </c>
      <c r="AX273" s="9">
        <v>78.115894375780002</v>
      </c>
      <c r="AY273" s="79" t="s">
        <v>23</v>
      </c>
      <c r="AZ273" s="9">
        <v>1.5623178875156001</v>
      </c>
      <c r="BA273" s="79" t="s">
        <v>225</v>
      </c>
      <c r="BB273" s="79" t="s">
        <v>23</v>
      </c>
      <c r="BC273" s="9">
        <v>6.9781717754290682</v>
      </c>
      <c r="BD273" s="79" t="s">
        <v>225</v>
      </c>
      <c r="BE273" s="79" t="s">
        <v>33</v>
      </c>
      <c r="BF273" s="9">
        <v>6.1587843946920424</v>
      </c>
      <c r="BG273" s="64" t="s">
        <v>288</v>
      </c>
      <c r="BH273" s="72" t="s">
        <v>23</v>
      </c>
      <c r="BI273" s="9">
        <v>5.2016595409795201</v>
      </c>
      <c r="BJ273" s="15" t="s">
        <v>288</v>
      </c>
      <c r="BK273" s="79" t="s">
        <v>33</v>
      </c>
      <c r="BL273" s="9">
        <v>4.7312451226904848</v>
      </c>
      <c r="BM273" s="72" t="s">
        <v>225</v>
      </c>
      <c r="BN273" s="287" t="s">
        <v>203</v>
      </c>
      <c r="BO273" s="9">
        <v>4.6628873401070203</v>
      </c>
    </row>
    <row r="274" spans="1:67" x14ac:dyDescent="0.45">
      <c r="A274" s="10">
        <v>253</v>
      </c>
      <c r="B274" s="10" t="s">
        <v>1004</v>
      </c>
      <c r="C274" s="79" t="s">
        <v>1983</v>
      </c>
      <c r="D274" s="65"/>
      <c r="E274" s="63" t="s">
        <v>2265</v>
      </c>
      <c r="F274" s="80" t="s">
        <v>2266</v>
      </c>
      <c r="G274" s="242"/>
      <c r="H274" s="10"/>
      <c r="I274" s="62">
        <v>147.78610187000001</v>
      </c>
      <c r="J274" s="62">
        <v>106.69050135000001</v>
      </c>
      <c r="K274" s="62">
        <v>120.12560152</v>
      </c>
      <c r="L274" s="49">
        <v>1673.0705690975792</v>
      </c>
      <c r="M274" s="49">
        <v>1530.8405238408527</v>
      </c>
      <c r="N274" s="49">
        <v>1425.8127784425178</v>
      </c>
      <c r="O274" s="61">
        <v>11.580709001753577</v>
      </c>
      <c r="P274" s="60"/>
      <c r="Q274" s="72" t="s">
        <v>225</v>
      </c>
      <c r="R274" s="9">
        <v>8.09373288976</v>
      </c>
      <c r="S274" s="15" t="s">
        <v>291</v>
      </c>
      <c r="T274" s="9">
        <v>8.6393050934999991</v>
      </c>
      <c r="U274" s="72" t="s">
        <v>225</v>
      </c>
      <c r="V274" s="9">
        <v>12.727</v>
      </c>
      <c r="W274" s="79" t="s">
        <v>23</v>
      </c>
      <c r="X274" s="9">
        <v>80.804495009800007</v>
      </c>
      <c r="Y274" s="79" t="s">
        <v>23</v>
      </c>
      <c r="Z274" s="9">
        <v>31.078651926846156</v>
      </c>
      <c r="AA274" s="15" t="s">
        <v>291</v>
      </c>
      <c r="AB274" s="72" t="s">
        <v>23</v>
      </c>
      <c r="AC274" s="9">
        <v>17.479047785424243</v>
      </c>
      <c r="AD274" s="64" t="s">
        <v>291</v>
      </c>
      <c r="AE274" s="79" t="s">
        <v>169</v>
      </c>
      <c r="AF274" s="9">
        <v>16.995061125276319</v>
      </c>
      <c r="AG274" s="72" t="s">
        <v>225</v>
      </c>
      <c r="AH274" s="72" t="s">
        <v>23</v>
      </c>
      <c r="AI274" s="9">
        <v>16.804699941194748</v>
      </c>
      <c r="AJ274" s="72" t="s">
        <v>225</v>
      </c>
      <c r="AK274" s="79" t="s">
        <v>169</v>
      </c>
      <c r="AL274" s="9">
        <v>16.405693197166986</v>
      </c>
      <c r="AM274" s="15" t="s">
        <v>291</v>
      </c>
      <c r="AN274" s="16" t="s">
        <v>203</v>
      </c>
      <c r="AO274" s="9">
        <v>12.765656236233553</v>
      </c>
      <c r="AP274" s="60"/>
      <c r="AQ274" s="72" t="s">
        <v>225</v>
      </c>
      <c r="AR274" s="9">
        <v>6.7636579729300008</v>
      </c>
      <c r="AS274" s="15" t="s">
        <v>291</v>
      </c>
      <c r="AT274" s="9">
        <v>2.9015241553875004</v>
      </c>
      <c r="AU274" s="79" t="s">
        <v>225</v>
      </c>
      <c r="AV274" s="9">
        <v>3.6666666666666998</v>
      </c>
      <c r="AW274" s="72" t="s">
        <v>23</v>
      </c>
      <c r="AX274" s="9">
        <v>104.74584351274001</v>
      </c>
      <c r="AY274" s="79" t="s">
        <v>169</v>
      </c>
      <c r="AZ274" s="9">
        <v>2.3340346177434288</v>
      </c>
      <c r="BA274" s="64" t="s">
        <v>291</v>
      </c>
      <c r="BB274" s="79" t="s">
        <v>169</v>
      </c>
      <c r="BC274" s="9">
        <v>10.064223015899545</v>
      </c>
      <c r="BD274" s="79" t="s">
        <v>225</v>
      </c>
      <c r="BE274" s="79" t="s">
        <v>169</v>
      </c>
      <c r="BF274" s="9">
        <v>9.787339283480776</v>
      </c>
      <c r="BG274" s="64" t="s">
        <v>291</v>
      </c>
      <c r="BH274" s="72" t="s">
        <v>23</v>
      </c>
      <c r="BI274" s="9">
        <v>9.5642366367096265</v>
      </c>
      <c r="BJ274" s="72" t="s">
        <v>225</v>
      </c>
      <c r="BK274" s="79" t="s">
        <v>23</v>
      </c>
      <c r="BL274" s="9">
        <v>9.2570632129604977</v>
      </c>
      <c r="BM274" s="15" t="s">
        <v>291</v>
      </c>
      <c r="BN274" s="287" t="s">
        <v>203</v>
      </c>
      <c r="BO274" s="9">
        <v>6.5770298341706193</v>
      </c>
    </row>
    <row r="275" spans="1:67" x14ac:dyDescent="0.45">
      <c r="A275" s="10">
        <v>254</v>
      </c>
      <c r="B275" s="10" t="s">
        <v>170</v>
      </c>
      <c r="C275" s="79" t="s">
        <v>1983</v>
      </c>
      <c r="D275" s="65"/>
      <c r="E275" s="63" t="s">
        <v>2265</v>
      </c>
      <c r="F275" s="80" t="s">
        <v>2266</v>
      </c>
      <c r="G275" s="242"/>
      <c r="H275" s="10"/>
      <c r="I275" s="62">
        <v>188.09140238000001</v>
      </c>
      <c r="J275" s="62">
        <v>145.41520184000001</v>
      </c>
      <c r="K275" s="62">
        <v>147.78610187000001</v>
      </c>
      <c r="L275" s="49">
        <v>2757.3420674584349</v>
      </c>
      <c r="M275" s="49">
        <v>2537.5127471895889</v>
      </c>
      <c r="N275" s="49">
        <v>2374.3366775832128</v>
      </c>
      <c r="O275" s="61">
        <v>18.762057460081433</v>
      </c>
      <c r="P275" s="60"/>
      <c r="Q275" s="72" t="s">
        <v>225</v>
      </c>
      <c r="R275" s="9">
        <v>10.02838731424</v>
      </c>
      <c r="S275" s="69" t="s">
        <v>27</v>
      </c>
      <c r="T275" s="9">
        <v>9.5534275892499991</v>
      </c>
      <c r="U275" s="69" t="s">
        <v>27</v>
      </c>
      <c r="V275" s="9">
        <v>15</v>
      </c>
      <c r="W275" s="80" t="s">
        <v>79</v>
      </c>
      <c r="X275" s="9">
        <v>132.66398166600001</v>
      </c>
      <c r="Y275" s="79" t="s">
        <v>1565</v>
      </c>
      <c r="Z275" s="9">
        <v>43.790323626153842</v>
      </c>
      <c r="AA275" s="69" t="s">
        <v>27</v>
      </c>
      <c r="AB275" s="72" t="s">
        <v>1565</v>
      </c>
      <c r="AC275" s="9">
        <v>24.556112369466291</v>
      </c>
      <c r="AD275" s="79" t="s">
        <v>225</v>
      </c>
      <c r="AE275" s="79" t="s">
        <v>1565</v>
      </c>
      <c r="AF275" s="9">
        <v>22.925461112735228</v>
      </c>
      <c r="AG275" s="69" t="s">
        <v>27</v>
      </c>
      <c r="AH275" s="72" t="s">
        <v>169</v>
      </c>
      <c r="AI275" s="9">
        <v>21.90033780724519</v>
      </c>
      <c r="AJ275" s="72" t="s">
        <v>225</v>
      </c>
      <c r="AK275" s="79" t="s">
        <v>169</v>
      </c>
      <c r="AL275" s="9">
        <v>20.696257445005692</v>
      </c>
      <c r="AM275" s="69" t="s">
        <v>27</v>
      </c>
      <c r="AN275" s="71" t="s">
        <v>79</v>
      </c>
      <c r="AO275" s="9">
        <v>19.002623968548079</v>
      </c>
      <c r="AP275" s="60"/>
      <c r="AQ275" s="72" t="s">
        <v>225</v>
      </c>
      <c r="AR275" s="9">
        <v>8.3355646928200002</v>
      </c>
      <c r="AS275" s="69" t="s">
        <v>27</v>
      </c>
      <c r="AT275" s="9">
        <v>3.4451882309400004</v>
      </c>
      <c r="AU275" s="289" t="s">
        <v>27</v>
      </c>
      <c r="AV275" s="9">
        <v>4</v>
      </c>
      <c r="AW275" s="71" t="s">
        <v>3477</v>
      </c>
      <c r="AX275" s="9">
        <v>147.7112938564</v>
      </c>
      <c r="AY275" s="79" t="s">
        <v>1565</v>
      </c>
      <c r="AZ275" s="9">
        <v>3.2824731968088892</v>
      </c>
      <c r="BA275" s="289" t="s">
        <v>27</v>
      </c>
      <c r="BB275" s="79" t="s">
        <v>1565</v>
      </c>
      <c r="BC275" s="9">
        <v>15.222013179957145</v>
      </c>
      <c r="BD275" s="289" t="s">
        <v>27</v>
      </c>
      <c r="BE275" s="79" t="s">
        <v>169</v>
      </c>
      <c r="BF275" s="9">
        <v>13.727518227713334</v>
      </c>
      <c r="BG275" s="79" t="s">
        <v>225</v>
      </c>
      <c r="BH275" s="72" t="s">
        <v>1565</v>
      </c>
      <c r="BI275" s="9">
        <v>13.69811399724178</v>
      </c>
      <c r="BJ275" s="72" t="s">
        <v>225</v>
      </c>
      <c r="BK275" s="79" t="s">
        <v>169</v>
      </c>
      <c r="BL275" s="9">
        <v>12.348463163301552</v>
      </c>
      <c r="BM275" s="69" t="s">
        <v>27</v>
      </c>
      <c r="BN275" s="80" t="s">
        <v>79</v>
      </c>
      <c r="BO275" s="9">
        <v>11.808440730966668</v>
      </c>
    </row>
    <row r="276" spans="1:67" x14ac:dyDescent="0.45">
      <c r="A276" s="10">
        <v>255</v>
      </c>
      <c r="B276" s="10" t="s">
        <v>1001</v>
      </c>
      <c r="C276" s="75" t="s">
        <v>1976</v>
      </c>
      <c r="D276" s="65"/>
      <c r="E276" s="80" t="s">
        <v>2198</v>
      </c>
      <c r="F276" s="289" t="s">
        <v>2199</v>
      </c>
      <c r="G276" s="242"/>
      <c r="H276" s="10"/>
      <c r="I276" s="62">
        <v>114.59350145000001</v>
      </c>
      <c r="J276" s="62">
        <v>80.610601020000004</v>
      </c>
      <c r="K276" s="62">
        <v>113.01290143000001</v>
      </c>
      <c r="L276" s="49">
        <v>1093.7550764240573</v>
      </c>
      <c r="M276" s="49">
        <v>1029.0902159518484</v>
      </c>
      <c r="N276" s="49">
        <v>980.1220126059701</v>
      </c>
      <c r="O276" s="61">
        <v>8.4304539476914773</v>
      </c>
      <c r="P276" s="60"/>
      <c r="Q276" s="70" t="s">
        <v>138</v>
      </c>
      <c r="R276" s="9">
        <v>7.8756100870000001</v>
      </c>
      <c r="S276" s="15" t="s">
        <v>1489</v>
      </c>
      <c r="T276" s="9">
        <v>8.8756100870000001</v>
      </c>
      <c r="U276" s="70" t="s">
        <v>138</v>
      </c>
      <c r="V276" s="9">
        <v>10</v>
      </c>
      <c r="W276" s="75" t="s">
        <v>2378</v>
      </c>
      <c r="X276" s="9">
        <v>49.129270609000002</v>
      </c>
      <c r="Y276" s="75" t="s">
        <v>76</v>
      </c>
      <c r="Z276" s="9">
        <v>22.331486640454546</v>
      </c>
      <c r="AA276" s="15" t="s">
        <v>1489</v>
      </c>
      <c r="AB276" s="70" t="s">
        <v>76</v>
      </c>
      <c r="AC276" s="9">
        <v>12.378915225177517</v>
      </c>
      <c r="AD276" s="75" t="s">
        <v>138</v>
      </c>
      <c r="AE276" s="75" t="s">
        <v>76</v>
      </c>
      <c r="AF276" s="9">
        <v>12.292683478333334</v>
      </c>
      <c r="AG276" s="15" t="s">
        <v>1489</v>
      </c>
      <c r="AH276" s="70" t="s">
        <v>1482</v>
      </c>
      <c r="AI276" s="9">
        <v>10.808909536171548</v>
      </c>
      <c r="AJ276" s="70" t="s">
        <v>138</v>
      </c>
      <c r="AK276" s="75" t="s">
        <v>1482</v>
      </c>
      <c r="AL276" s="9">
        <v>10.567472555934581</v>
      </c>
      <c r="AM276" s="15" t="s">
        <v>1489</v>
      </c>
      <c r="AN276" s="52" t="s">
        <v>1488</v>
      </c>
      <c r="AO276" s="9">
        <v>10.220136354629631</v>
      </c>
      <c r="AP276" s="60"/>
      <c r="AQ276" s="70" t="s">
        <v>138</v>
      </c>
      <c r="AR276" s="9">
        <v>6.3629758678600004</v>
      </c>
      <c r="AS276" s="15" t="s">
        <v>1489</v>
      </c>
      <c r="AT276" s="9">
        <v>3.9794310377000004</v>
      </c>
      <c r="AU276" s="75" t="s">
        <v>138</v>
      </c>
      <c r="AV276" s="9">
        <v>3</v>
      </c>
      <c r="AW276" s="70" t="s">
        <v>76</v>
      </c>
      <c r="AX276" s="9">
        <v>81.444638017900004</v>
      </c>
      <c r="AY276" s="75" t="s">
        <v>76</v>
      </c>
      <c r="AZ276" s="9">
        <v>1.4808116003254546</v>
      </c>
      <c r="BA276" s="75" t="s">
        <v>138</v>
      </c>
      <c r="BB276" s="75" t="s">
        <v>76</v>
      </c>
      <c r="BC276" s="9">
        <v>7.2295819037905176</v>
      </c>
      <c r="BD276" s="64" t="s">
        <v>1489</v>
      </c>
      <c r="BE276" s="75" t="s">
        <v>76</v>
      </c>
      <c r="BF276" s="9">
        <v>6.6975084756017544</v>
      </c>
      <c r="BG276" s="75" t="s">
        <v>138</v>
      </c>
      <c r="BH276" s="70" t="s">
        <v>1482</v>
      </c>
      <c r="BI276" s="9">
        <v>6.5995953221056611</v>
      </c>
      <c r="BJ276" s="15" t="s">
        <v>1489</v>
      </c>
      <c r="BK276" s="75" t="s">
        <v>1482</v>
      </c>
      <c r="BL276" s="9">
        <v>6.2713010667000004</v>
      </c>
      <c r="BM276" s="15" t="s">
        <v>1489</v>
      </c>
      <c r="BN276" s="56" t="s">
        <v>1488</v>
      </c>
      <c r="BO276" s="9">
        <v>5.5652572351854852</v>
      </c>
    </row>
    <row r="277" spans="1:67" x14ac:dyDescent="0.45">
      <c r="A277" s="10">
        <v>256</v>
      </c>
      <c r="B277" s="10" t="s">
        <v>1000</v>
      </c>
      <c r="C277" s="58" t="s">
        <v>2160</v>
      </c>
      <c r="D277" s="65"/>
      <c r="E277" s="80" t="s">
        <v>2316</v>
      </c>
      <c r="F277" s="59" t="s">
        <v>2317</v>
      </c>
      <c r="G277" s="289" t="s">
        <v>1887</v>
      </c>
      <c r="H277" s="10"/>
      <c r="I277" s="62">
        <v>140.67340178000001</v>
      </c>
      <c r="J277" s="62">
        <v>102.73900130000001</v>
      </c>
      <c r="K277" s="62">
        <v>134.35100170000001</v>
      </c>
      <c r="L277" s="49">
        <v>1652.7231638578426</v>
      </c>
      <c r="M277" s="49">
        <v>1556.4153028987639</v>
      </c>
      <c r="N277" s="49">
        <v>1483.4256861677563</v>
      </c>
      <c r="O277" s="61">
        <v>12.517094001427703</v>
      </c>
      <c r="P277" s="60"/>
      <c r="Q277" s="70" t="s">
        <v>138</v>
      </c>
      <c r="R277" s="9">
        <v>9.4404041068000009</v>
      </c>
      <c r="S277" s="70" t="s">
        <v>138</v>
      </c>
      <c r="T277" s="9">
        <v>9.4404041068000009</v>
      </c>
      <c r="U277" s="16" t="s">
        <v>2414</v>
      </c>
      <c r="V277" s="9">
        <v>10</v>
      </c>
      <c r="W277" s="75" t="s">
        <v>2378</v>
      </c>
      <c r="X277" s="9">
        <v>60.082828747599997</v>
      </c>
      <c r="Y277" s="75" t="s">
        <v>76</v>
      </c>
      <c r="Z277" s="9">
        <v>27.310376703454541</v>
      </c>
      <c r="AA277" s="70" t="s">
        <v>138</v>
      </c>
      <c r="AB277" s="70" t="s">
        <v>76</v>
      </c>
      <c r="AC277" s="9">
        <v>14.900673511333334</v>
      </c>
      <c r="AD277" s="287" t="s">
        <v>1515</v>
      </c>
      <c r="AE277" s="75" t="s">
        <v>76</v>
      </c>
      <c r="AF277" s="9">
        <v>13.923774887861111</v>
      </c>
      <c r="AG277" s="70" t="s">
        <v>138</v>
      </c>
      <c r="AH277" s="52" t="s">
        <v>40</v>
      </c>
      <c r="AI277" s="9">
        <v>13.567711850129871</v>
      </c>
      <c r="AJ277" s="70" t="s">
        <v>138</v>
      </c>
      <c r="AK277" s="75" t="s">
        <v>1482</v>
      </c>
      <c r="AL277" s="9">
        <v>12.834230248168225</v>
      </c>
      <c r="AM277" s="16" t="s">
        <v>1515</v>
      </c>
      <c r="AN277" s="52" t="s">
        <v>40</v>
      </c>
      <c r="AO277" s="9">
        <v>12.654248202207793</v>
      </c>
      <c r="AP277" s="60"/>
      <c r="AQ277" s="70" t="s">
        <v>138</v>
      </c>
      <c r="AR277" s="9">
        <v>7.5835152033040005</v>
      </c>
      <c r="AS277" s="70" t="s">
        <v>138</v>
      </c>
      <c r="AT277" s="9">
        <v>3.7917576016520003</v>
      </c>
      <c r="AU277" s="75" t="s">
        <v>138</v>
      </c>
      <c r="AV277" s="9">
        <v>3</v>
      </c>
      <c r="AW277" s="70" t="s">
        <v>76</v>
      </c>
      <c r="AX277" s="9">
        <v>99.752728049560005</v>
      </c>
      <c r="AY277" s="75" t="s">
        <v>76</v>
      </c>
      <c r="AZ277" s="9">
        <v>1.8136859645374546</v>
      </c>
      <c r="BA277" s="75" t="s">
        <v>138</v>
      </c>
      <c r="BB277" s="75" t="s">
        <v>76</v>
      </c>
      <c r="BC277" s="9">
        <v>8.7552560730955182</v>
      </c>
      <c r="BD277" s="75" t="s">
        <v>138</v>
      </c>
      <c r="BE277" s="56" t="s">
        <v>40</v>
      </c>
      <c r="BF277" s="9">
        <v>8.189158309398751</v>
      </c>
      <c r="BG277" s="75" t="s">
        <v>138</v>
      </c>
      <c r="BH277" s="70" t="s">
        <v>1482</v>
      </c>
      <c r="BI277" s="9">
        <v>7.9813379660045287</v>
      </c>
      <c r="BJ277" s="16" t="s">
        <v>1515</v>
      </c>
      <c r="BK277" s="75" t="s">
        <v>76</v>
      </c>
      <c r="BL277" s="9">
        <v>7.4392007570947829</v>
      </c>
      <c r="BM277" s="16" t="s">
        <v>1515</v>
      </c>
      <c r="BN277" s="56" t="s">
        <v>40</v>
      </c>
      <c r="BO277" s="9">
        <v>6.9750806815989463</v>
      </c>
    </row>
    <row r="278" spans="1:67" x14ac:dyDescent="0.45">
      <c r="A278" s="10">
        <v>257</v>
      </c>
      <c r="B278" s="10" t="s">
        <v>301</v>
      </c>
      <c r="C278" s="58" t="s">
        <v>2160</v>
      </c>
      <c r="D278" s="65"/>
      <c r="E278" s="80" t="s">
        <v>2316</v>
      </c>
      <c r="F278" s="59" t="s">
        <v>2317</v>
      </c>
      <c r="G278" s="289" t="s">
        <v>1887</v>
      </c>
      <c r="H278" s="10"/>
      <c r="I278" s="62">
        <v>201.52650255</v>
      </c>
      <c r="J278" s="62">
        <v>123.28680156000001</v>
      </c>
      <c r="K278" s="62">
        <v>162.01150205000002</v>
      </c>
      <c r="L278" s="49">
        <v>2848.1534560570467</v>
      </c>
      <c r="M278" s="49">
        <v>2530.4420821077238</v>
      </c>
      <c r="N278" s="49">
        <v>2301.9867236268628</v>
      </c>
      <c r="O278" s="61">
        <v>17.781638559214379</v>
      </c>
      <c r="P278" s="60"/>
      <c r="Q278" s="70" t="s">
        <v>36</v>
      </c>
      <c r="R278" s="9">
        <v>17.928226214199999</v>
      </c>
      <c r="S278" s="55" t="s">
        <v>45</v>
      </c>
      <c r="T278" s="9">
        <v>17.233231315111112</v>
      </c>
      <c r="U278" s="70" t="s">
        <v>36</v>
      </c>
      <c r="V278" s="9">
        <v>9.0909999999999993</v>
      </c>
      <c r="W278" s="75" t="s">
        <v>48</v>
      </c>
      <c r="X278" s="9">
        <v>194.465442448</v>
      </c>
      <c r="Y278" s="58" t="s">
        <v>187</v>
      </c>
      <c r="Z278" s="9">
        <v>48.652074897714286</v>
      </c>
      <c r="AA278" s="55" t="s">
        <v>45</v>
      </c>
      <c r="AB278" s="70" t="s">
        <v>1563</v>
      </c>
      <c r="AC278" s="9">
        <v>25.876125247114842</v>
      </c>
      <c r="AD278" s="75" t="s">
        <v>36</v>
      </c>
      <c r="AE278" s="75" t="s">
        <v>1563</v>
      </c>
      <c r="AF278" s="9">
        <v>25.414616222045449</v>
      </c>
      <c r="AG278" s="55" t="s">
        <v>45</v>
      </c>
      <c r="AH278" s="70" t="s">
        <v>48</v>
      </c>
      <c r="AI278" s="9">
        <v>25.228933046802545</v>
      </c>
      <c r="AJ278" s="70" t="s">
        <v>36</v>
      </c>
      <c r="AK278" s="75" t="s">
        <v>48</v>
      </c>
      <c r="AL278" s="9">
        <v>24.916513639333335</v>
      </c>
      <c r="AM278" s="55" t="s">
        <v>45</v>
      </c>
      <c r="AN278" s="55" t="s">
        <v>187</v>
      </c>
      <c r="AO278" s="9">
        <v>24.467833455842104</v>
      </c>
      <c r="AP278" s="60"/>
      <c r="AQ278" s="70" t="s">
        <v>36</v>
      </c>
      <c r="AR278" s="9">
        <v>15.147160479010001</v>
      </c>
      <c r="AS278" s="55" t="s">
        <v>45</v>
      </c>
      <c r="AT278" s="9">
        <v>6.7876268795600003</v>
      </c>
      <c r="AU278" s="58" t="s">
        <v>45</v>
      </c>
      <c r="AV278" s="9">
        <v>3.5</v>
      </c>
      <c r="AW278" s="55" t="s">
        <v>187</v>
      </c>
      <c r="AX278" s="9">
        <v>236.78600798350001</v>
      </c>
      <c r="AY278" s="75" t="s">
        <v>48</v>
      </c>
      <c r="AZ278" s="9">
        <v>3.7335977015581818</v>
      </c>
      <c r="BA278" s="58" t="s">
        <v>45</v>
      </c>
      <c r="BB278" s="75" t="s">
        <v>48</v>
      </c>
      <c r="BC278" s="9">
        <v>18.667299759414526</v>
      </c>
      <c r="BD278" s="58" t="s">
        <v>45</v>
      </c>
      <c r="BE278" s="75" t="s">
        <v>1563</v>
      </c>
      <c r="BF278" s="9">
        <v>17.72084918010561</v>
      </c>
      <c r="BG278" s="58" t="s">
        <v>45</v>
      </c>
      <c r="BH278" s="55" t="s">
        <v>187</v>
      </c>
      <c r="BI278" s="9">
        <v>17.042331769544589</v>
      </c>
      <c r="BJ278" s="70" t="s">
        <v>36</v>
      </c>
      <c r="BK278" s="75" t="s">
        <v>48</v>
      </c>
      <c r="BL278" s="9">
        <v>16.494700355443143</v>
      </c>
      <c r="BM278" s="70" t="s">
        <v>36</v>
      </c>
      <c r="BN278" s="75" t="s">
        <v>1563</v>
      </c>
      <c r="BO278" s="9">
        <v>15.602846348934376</v>
      </c>
    </row>
    <row r="279" spans="1:67" x14ac:dyDescent="0.45">
      <c r="A279" s="10">
        <v>258</v>
      </c>
      <c r="B279" s="10" t="s">
        <v>996</v>
      </c>
      <c r="C279" s="288" t="s">
        <v>1993</v>
      </c>
      <c r="D279" s="65"/>
      <c r="E279" s="290" t="s">
        <v>2201</v>
      </c>
      <c r="F279" s="59" t="s">
        <v>2202</v>
      </c>
      <c r="G279" s="242"/>
      <c r="H279" s="10"/>
      <c r="I279" s="62">
        <v>111.43230141000001</v>
      </c>
      <c r="J279" s="62">
        <v>85.352401080000007</v>
      </c>
      <c r="K279" s="62">
        <v>120.12560152</v>
      </c>
      <c r="L279" s="49">
        <v>1128.3316210386286</v>
      </c>
      <c r="M279" s="49">
        <v>1092.886208767562</v>
      </c>
      <c r="N279" s="49">
        <v>1065.3332812172216</v>
      </c>
      <c r="O279" s="61">
        <v>9.4467092077272348</v>
      </c>
      <c r="P279" s="60"/>
      <c r="Q279" s="73" t="s">
        <v>121</v>
      </c>
      <c r="R279" s="9">
        <v>4.3429690423</v>
      </c>
      <c r="S279" s="73" t="s">
        <v>121</v>
      </c>
      <c r="T279" s="9">
        <v>8.6859380846000001</v>
      </c>
      <c r="U279" s="15" t="s">
        <v>2390</v>
      </c>
      <c r="V279" s="9">
        <v>10</v>
      </c>
      <c r="W279" s="80" t="s">
        <v>1490</v>
      </c>
      <c r="X279" s="9">
        <v>56.716150705000004</v>
      </c>
      <c r="Y279" s="64" t="s">
        <v>52</v>
      </c>
      <c r="Z279" s="9">
        <v>29.286646781071436</v>
      </c>
      <c r="AA279" s="73" t="s">
        <v>121</v>
      </c>
      <c r="AB279" s="15" t="s">
        <v>52</v>
      </c>
      <c r="AC279" s="9">
        <v>12.261267693078514</v>
      </c>
      <c r="AD279" s="64" t="s">
        <v>127</v>
      </c>
      <c r="AE279" s="64" t="s">
        <v>52</v>
      </c>
      <c r="AF279" s="9">
        <v>11.340339582252067</v>
      </c>
      <c r="AG279" s="73" t="s">
        <v>121</v>
      </c>
      <c r="AH279" s="15" t="s">
        <v>1508</v>
      </c>
      <c r="AI279" s="9">
        <v>11.205010941902986</v>
      </c>
      <c r="AJ279" s="73" t="s">
        <v>121</v>
      </c>
      <c r="AK279" s="63" t="s">
        <v>1533</v>
      </c>
      <c r="AL279" s="9">
        <v>10.64009858303681</v>
      </c>
      <c r="AM279" s="15" t="s">
        <v>127</v>
      </c>
      <c r="AN279" s="15" t="s">
        <v>1508</v>
      </c>
      <c r="AO279" s="9">
        <v>10.373426603022388</v>
      </c>
      <c r="AP279" s="60"/>
      <c r="AQ279" s="73" t="s">
        <v>121</v>
      </c>
      <c r="AR279" s="9">
        <v>3.6075158529940001</v>
      </c>
      <c r="AS279" s="73" t="s">
        <v>121</v>
      </c>
      <c r="AT279" s="9">
        <v>3.6075158529940001</v>
      </c>
      <c r="AU279" s="288" t="s">
        <v>121</v>
      </c>
      <c r="AV279" s="9">
        <v>3</v>
      </c>
      <c r="AW279" s="15" t="s">
        <v>52</v>
      </c>
      <c r="AX279" s="9">
        <v>95.160294691450005</v>
      </c>
      <c r="AY279" s="64" t="s">
        <v>52</v>
      </c>
      <c r="AZ279" s="9">
        <v>1.3594327813064286</v>
      </c>
      <c r="BA279" s="288" t="s">
        <v>121</v>
      </c>
      <c r="BB279" s="64" t="s">
        <v>52</v>
      </c>
      <c r="BC279" s="9">
        <v>7.3699588189579455</v>
      </c>
      <c r="BD279" s="288" t="s">
        <v>121</v>
      </c>
      <c r="BE279" s="64" t="s">
        <v>1508</v>
      </c>
      <c r="BF279" s="9">
        <v>6.2049250553949999</v>
      </c>
      <c r="BG279" s="288" t="s">
        <v>121</v>
      </c>
      <c r="BH279" s="71" t="s">
        <v>1490</v>
      </c>
      <c r="BI279" s="9">
        <v>6.131256096253253</v>
      </c>
      <c r="BJ279" s="73" t="s">
        <v>121</v>
      </c>
      <c r="BK279" s="63" t="s">
        <v>1533</v>
      </c>
      <c r="BL279" s="9">
        <v>5.9522587905700002</v>
      </c>
      <c r="BM279" s="15" t="s">
        <v>127</v>
      </c>
      <c r="BN279" s="64" t="s">
        <v>52</v>
      </c>
      <c r="BO279" s="9">
        <v>5.7281344556604168</v>
      </c>
    </row>
    <row r="280" spans="1:67" x14ac:dyDescent="0.45">
      <c r="A280" s="10">
        <v>259</v>
      </c>
      <c r="B280" s="10" t="s">
        <v>995</v>
      </c>
      <c r="C280" s="80" t="s">
        <v>2146</v>
      </c>
      <c r="D280" s="79" t="s">
        <v>1983</v>
      </c>
      <c r="E280" s="58"/>
      <c r="F280" s="63" t="s">
        <v>2292</v>
      </c>
      <c r="G280" s="242"/>
      <c r="H280" s="10"/>
      <c r="I280" s="62">
        <v>135.14130171000002</v>
      </c>
      <c r="J280" s="62">
        <v>116.96440148000001</v>
      </c>
      <c r="K280" s="62">
        <v>147.78610187000001</v>
      </c>
      <c r="L280" s="49">
        <v>1776.7721826408247</v>
      </c>
      <c r="M280" s="49">
        <v>1760.5577000235462</v>
      </c>
      <c r="N280" s="49">
        <v>1747.6927175137232</v>
      </c>
      <c r="O280" s="61">
        <v>15.475616706658645</v>
      </c>
      <c r="P280" s="60"/>
      <c r="Q280" s="71" t="s">
        <v>2403</v>
      </c>
      <c r="R280" s="9">
        <v>5.0542390513000006</v>
      </c>
      <c r="S280" s="73" t="s">
        <v>121</v>
      </c>
      <c r="T280" s="9">
        <v>10.108478102600001</v>
      </c>
      <c r="U280" s="71" t="s">
        <v>144</v>
      </c>
      <c r="V280" s="9">
        <v>11.667</v>
      </c>
      <c r="W280" s="288" t="s">
        <v>218</v>
      </c>
      <c r="X280" s="9">
        <v>53.705107666900005</v>
      </c>
      <c r="Y280" s="64" t="s">
        <v>52</v>
      </c>
      <c r="Z280" s="9">
        <v>35.213896856071436</v>
      </c>
      <c r="AA280" s="73" t="s">
        <v>121</v>
      </c>
      <c r="AB280" s="73" t="s">
        <v>218</v>
      </c>
      <c r="AC280" s="9">
        <v>15.55932808655224</v>
      </c>
      <c r="AD280" s="80" t="s">
        <v>144</v>
      </c>
      <c r="AE280" s="288" t="s">
        <v>218</v>
      </c>
      <c r="AF280" s="9">
        <v>15.003525208431983</v>
      </c>
      <c r="AG280" s="73" t="s">
        <v>121</v>
      </c>
      <c r="AH280" s="15" t="s">
        <v>52</v>
      </c>
      <c r="AI280" s="9">
        <v>14.465616894524796</v>
      </c>
      <c r="AJ280" s="73" t="s">
        <v>121</v>
      </c>
      <c r="AK280" s="80" t="s">
        <v>99</v>
      </c>
      <c r="AL280" s="9">
        <v>14.075424243721896</v>
      </c>
      <c r="AM280" s="71" t="s">
        <v>144</v>
      </c>
      <c r="AN280" s="15" t="s">
        <v>52</v>
      </c>
      <c r="AO280" s="9">
        <v>13.695691953336683</v>
      </c>
      <c r="AP280" s="60"/>
      <c r="AQ280" s="71" t="s">
        <v>2403</v>
      </c>
      <c r="AR280" s="9">
        <v>4.1623064600140003</v>
      </c>
      <c r="AS280" s="73" t="s">
        <v>121</v>
      </c>
      <c r="AT280" s="9">
        <v>4.1623064600140003</v>
      </c>
      <c r="AU280" s="80" t="s">
        <v>144</v>
      </c>
      <c r="AV280" s="9">
        <v>4.5</v>
      </c>
      <c r="AW280" s="15" t="s">
        <v>52</v>
      </c>
      <c r="AX280" s="9">
        <v>115.19439994495002</v>
      </c>
      <c r="AY280" s="288" t="s">
        <v>218</v>
      </c>
      <c r="AZ280" s="9">
        <v>1.7379159991742505</v>
      </c>
      <c r="BA280" s="80" t="s">
        <v>144</v>
      </c>
      <c r="BB280" s="64" t="s">
        <v>52</v>
      </c>
      <c r="BC280" s="9">
        <v>8.9134969913122823</v>
      </c>
      <c r="BD280" s="80" t="s">
        <v>144</v>
      </c>
      <c r="BE280" s="288" t="s">
        <v>218</v>
      </c>
      <c r="BF280" s="9">
        <v>8.9004721135201148</v>
      </c>
      <c r="BG280" s="288" t="s">
        <v>121</v>
      </c>
      <c r="BH280" s="15" t="s">
        <v>52</v>
      </c>
      <c r="BI280" s="9">
        <v>8.7252692059702746</v>
      </c>
      <c r="BJ280" s="73" t="s">
        <v>121</v>
      </c>
      <c r="BK280" s="288" t="s">
        <v>218</v>
      </c>
      <c r="BL280" s="9">
        <v>8.7219111232900008</v>
      </c>
      <c r="BM280" s="73" t="s">
        <v>121</v>
      </c>
      <c r="BN280" s="80" t="s">
        <v>99</v>
      </c>
      <c r="BO280" s="9">
        <v>7.9864910163100014</v>
      </c>
    </row>
    <row r="281" spans="1:67" x14ac:dyDescent="0.45">
      <c r="A281" s="10">
        <v>260</v>
      </c>
      <c r="B281" s="10" t="s">
        <v>179</v>
      </c>
      <c r="C281" s="80" t="s">
        <v>2146</v>
      </c>
      <c r="D281" s="79" t="s">
        <v>1983</v>
      </c>
      <c r="E281" s="58"/>
      <c r="F281" s="63" t="s">
        <v>2292</v>
      </c>
      <c r="G281" s="242"/>
      <c r="H281" s="10"/>
      <c r="I281" s="62">
        <v>176.23690223</v>
      </c>
      <c r="J281" s="62">
        <v>150.15700190000001</v>
      </c>
      <c r="K281" s="62">
        <v>189.67200240000003</v>
      </c>
      <c r="L281" s="49">
        <v>2974.207464439884</v>
      </c>
      <c r="M281" s="49">
        <v>2931.5486916652071</v>
      </c>
      <c r="N281" s="49">
        <v>2897.8626290019647</v>
      </c>
      <c r="O281" s="61">
        <v>24.762340426311503</v>
      </c>
      <c r="P281" s="60"/>
      <c r="Q281" s="71" t="s">
        <v>2403</v>
      </c>
      <c r="R281" s="9">
        <v>6.2871070669</v>
      </c>
      <c r="S281" s="73" t="s">
        <v>121</v>
      </c>
      <c r="T281" s="9">
        <v>12.5742141338</v>
      </c>
      <c r="U281" s="71" t="s">
        <v>144</v>
      </c>
      <c r="V281" s="9">
        <v>11.667</v>
      </c>
      <c r="W281" s="80" t="s">
        <v>79</v>
      </c>
      <c r="X281" s="9">
        <v>149.0389978732</v>
      </c>
      <c r="Y281" s="288" t="s">
        <v>1564</v>
      </c>
      <c r="Z281" s="9">
        <v>50.614698528526318</v>
      </c>
      <c r="AA281" s="73" t="s">
        <v>121</v>
      </c>
      <c r="AB281" s="73" t="s">
        <v>1564</v>
      </c>
      <c r="AC281" s="9">
        <v>23.049130126550725</v>
      </c>
      <c r="AD281" s="80" t="s">
        <v>144</v>
      </c>
      <c r="AE281" s="288" t="s">
        <v>1564</v>
      </c>
      <c r="AF281" s="9">
        <v>22.806716946290994</v>
      </c>
      <c r="AG281" s="73" t="s">
        <v>121</v>
      </c>
      <c r="AH281" s="71" t="s">
        <v>79</v>
      </c>
      <c r="AI281" s="9">
        <v>20.204495530235295</v>
      </c>
      <c r="AJ281" s="73" t="s">
        <v>121</v>
      </c>
      <c r="AK281" s="288" t="s">
        <v>218</v>
      </c>
      <c r="AL281" s="9">
        <v>19.791561572940299</v>
      </c>
      <c r="AM281" s="71" t="s">
        <v>144</v>
      </c>
      <c r="AN281" s="71" t="s">
        <v>79</v>
      </c>
      <c r="AO281" s="9">
        <v>19.313143164817461</v>
      </c>
      <c r="AP281" s="60"/>
      <c r="AQ281" s="71" t="s">
        <v>2403</v>
      </c>
      <c r="AR281" s="9">
        <v>5.1239435121820005</v>
      </c>
      <c r="AS281" s="73" t="s">
        <v>121</v>
      </c>
      <c r="AT281" s="9">
        <v>5.1239435121820005</v>
      </c>
      <c r="AU281" s="80" t="s">
        <v>144</v>
      </c>
      <c r="AV281" s="9">
        <v>4.5</v>
      </c>
      <c r="AW281" s="71" t="s">
        <v>79</v>
      </c>
      <c r="AX281" s="9">
        <v>165.95774048728001</v>
      </c>
      <c r="AY281" s="288" t="s">
        <v>1564</v>
      </c>
      <c r="AZ281" s="9">
        <v>2.7742956747880001</v>
      </c>
      <c r="BA281" s="80" t="s">
        <v>144</v>
      </c>
      <c r="BB281" s="288" t="s">
        <v>1564</v>
      </c>
      <c r="BC281" s="9">
        <v>13.524766105741124</v>
      </c>
      <c r="BD281" s="80" t="s">
        <v>144</v>
      </c>
      <c r="BE281" s="80" t="s">
        <v>79</v>
      </c>
      <c r="BF281" s="9">
        <v>13.141553904153598</v>
      </c>
      <c r="BG281" s="288" t="s">
        <v>121</v>
      </c>
      <c r="BH281" s="73" t="s">
        <v>1564</v>
      </c>
      <c r="BI281" s="9">
        <v>12.50867956888</v>
      </c>
      <c r="BJ281" s="73" t="s">
        <v>121</v>
      </c>
      <c r="BK281" s="80" t="s">
        <v>79</v>
      </c>
      <c r="BL281" s="9">
        <v>12.219552202259854</v>
      </c>
      <c r="BM281" s="71" t="s">
        <v>144</v>
      </c>
      <c r="BN281" s="64" t="s">
        <v>52</v>
      </c>
      <c r="BO281" s="9">
        <v>11.462803270549596</v>
      </c>
    </row>
    <row r="282" spans="1:67" x14ac:dyDescent="0.45">
      <c r="A282" s="10">
        <v>261</v>
      </c>
      <c r="B282" s="10" t="s">
        <v>994</v>
      </c>
      <c r="C282" s="76" t="s">
        <v>1891</v>
      </c>
      <c r="D282" s="65"/>
      <c r="E282" s="58" t="s">
        <v>2234</v>
      </c>
      <c r="F282" s="77" t="s">
        <v>2167</v>
      </c>
      <c r="G282" s="242" t="s">
        <v>1925</v>
      </c>
      <c r="H282" s="10"/>
      <c r="I282" s="62">
        <v>87.723301110000008</v>
      </c>
      <c r="J282" s="62">
        <v>60.062800760000002</v>
      </c>
      <c r="K282" s="62">
        <v>99.577801260000001</v>
      </c>
      <c r="L282" s="49">
        <v>678.42059329646986</v>
      </c>
      <c r="M282" s="49">
        <v>650.51210972395643</v>
      </c>
      <c r="N282" s="49">
        <v>629.01423844739702</v>
      </c>
      <c r="O282" s="61">
        <v>5.6420446344408122</v>
      </c>
      <c r="P282" s="60"/>
      <c r="Q282" s="67" t="s">
        <v>20</v>
      </c>
      <c r="R282" s="9">
        <v>7.3160776799200002</v>
      </c>
      <c r="S282" s="67" t="s">
        <v>20</v>
      </c>
      <c r="T282" s="9">
        <v>6.6509797090181815</v>
      </c>
      <c r="U282" s="67" t="s">
        <v>20</v>
      </c>
      <c r="V282" s="9">
        <v>12.727</v>
      </c>
      <c r="W282" s="80" t="s">
        <v>1490</v>
      </c>
      <c r="X282" s="9">
        <v>44.861650555000004</v>
      </c>
      <c r="Y282" s="76" t="s">
        <v>91</v>
      </c>
      <c r="Z282" s="9">
        <v>11.826183270687499</v>
      </c>
      <c r="AA282" s="67" t="s">
        <v>20</v>
      </c>
      <c r="AB282" s="67" t="s">
        <v>91</v>
      </c>
      <c r="AC282" s="9">
        <v>9.496918165189852</v>
      </c>
      <c r="AD282" s="64" t="s">
        <v>127</v>
      </c>
      <c r="AE282" s="76" t="s">
        <v>91</v>
      </c>
      <c r="AF282" s="9">
        <v>9.0506637731428583</v>
      </c>
      <c r="AG282" s="67" t="s">
        <v>20</v>
      </c>
      <c r="AH282" s="71" t="s">
        <v>1490</v>
      </c>
      <c r="AI282" s="9">
        <v>8.2273757596523165</v>
      </c>
      <c r="AJ282" s="15" t="s">
        <v>127</v>
      </c>
      <c r="AK282" s="80" t="s">
        <v>1490</v>
      </c>
      <c r="AL282" s="9">
        <v>7.9167500858247433</v>
      </c>
      <c r="AM282" s="67" t="s">
        <v>20</v>
      </c>
      <c r="AN282" s="54" t="s">
        <v>154</v>
      </c>
      <c r="AO282" s="9">
        <v>7.8190409655485116</v>
      </c>
      <c r="AP282" s="60"/>
      <c r="AQ282" s="67" t="s">
        <v>20</v>
      </c>
      <c r="AR282" s="9">
        <v>4.4212087432900002</v>
      </c>
      <c r="AS282" s="15" t="s">
        <v>127</v>
      </c>
      <c r="AT282" s="9">
        <v>2.7106043716450001</v>
      </c>
      <c r="AU282" s="76" t="s">
        <v>20</v>
      </c>
      <c r="AV282" s="9">
        <v>4.3333333333333002</v>
      </c>
      <c r="AW282" s="71" t="s">
        <v>1490</v>
      </c>
      <c r="AX282" s="9">
        <v>58.020145721500008</v>
      </c>
      <c r="AY282" s="76" t="s">
        <v>91</v>
      </c>
      <c r="AZ282" s="9">
        <v>1.0865982756902224</v>
      </c>
      <c r="BA282" s="76" t="s">
        <v>20</v>
      </c>
      <c r="BB282" s="76" t="s">
        <v>91</v>
      </c>
      <c r="BC282" s="9">
        <v>5.6392863832893925</v>
      </c>
      <c r="BD282" s="64" t="s">
        <v>127</v>
      </c>
      <c r="BE282" s="76" t="s">
        <v>91</v>
      </c>
      <c r="BF282" s="9">
        <v>4.6759796071520219</v>
      </c>
      <c r="BG282" s="76" t="s">
        <v>20</v>
      </c>
      <c r="BH282" s="71" t="s">
        <v>1490</v>
      </c>
      <c r="BI282" s="9">
        <v>4.3792829796154153</v>
      </c>
      <c r="BJ282" s="15" t="s">
        <v>127</v>
      </c>
      <c r="BK282" s="80" t="s">
        <v>1490</v>
      </c>
      <c r="BL282" s="9">
        <v>4.0596175752999999</v>
      </c>
      <c r="BM282" s="67" t="s">
        <v>20</v>
      </c>
      <c r="BN282" s="63" t="s">
        <v>154</v>
      </c>
      <c r="BO282" s="9">
        <v>3.9342971505673736</v>
      </c>
    </row>
    <row r="283" spans="1:67" x14ac:dyDescent="0.45">
      <c r="A283" s="10">
        <v>262</v>
      </c>
      <c r="B283" s="10" t="s">
        <v>991</v>
      </c>
      <c r="C283" s="76" t="s">
        <v>1891</v>
      </c>
      <c r="D283" s="65"/>
      <c r="E283" s="58" t="s">
        <v>2234</v>
      </c>
      <c r="F283" s="77" t="s">
        <v>2167</v>
      </c>
      <c r="G283" s="242" t="s">
        <v>1925</v>
      </c>
      <c r="H283" s="10"/>
      <c r="I283" s="62">
        <v>146.99580186</v>
      </c>
      <c r="J283" s="62">
        <v>116.17410147000001</v>
      </c>
      <c r="K283" s="62">
        <v>147.78610187000001</v>
      </c>
      <c r="L283" s="49">
        <v>1926.0891719008541</v>
      </c>
      <c r="M283" s="49">
        <v>1853.6677686383616</v>
      </c>
      <c r="N283" s="49">
        <v>1797.6962214362352</v>
      </c>
      <c r="O283" s="61">
        <v>15.381935104827907</v>
      </c>
      <c r="P283" s="60"/>
      <c r="Q283" s="51" t="s">
        <v>2415</v>
      </c>
      <c r="R283" s="9">
        <v>9.8197481115999992</v>
      </c>
      <c r="S283" s="67" t="s">
        <v>66</v>
      </c>
      <c r="T283" s="9">
        <v>12.583697733919999</v>
      </c>
      <c r="U283" s="51" t="s">
        <v>2416</v>
      </c>
      <c r="V283" s="9">
        <v>13.333</v>
      </c>
      <c r="W283" s="65" t="s">
        <v>84</v>
      </c>
      <c r="X283" s="9">
        <v>67.148110837000004</v>
      </c>
      <c r="Y283" s="65" t="s">
        <v>84</v>
      </c>
      <c r="Z283" s="9">
        <v>23.154520978275865</v>
      </c>
      <c r="AA283" s="67" t="s">
        <v>66</v>
      </c>
      <c r="AB283" s="14" t="s">
        <v>84</v>
      </c>
      <c r="AC283" s="9">
        <v>15.934013297704919</v>
      </c>
      <c r="AD283" s="76" t="s">
        <v>66</v>
      </c>
      <c r="AE283" s="76" t="s">
        <v>91</v>
      </c>
      <c r="AF283" s="9">
        <v>15.633978824325791</v>
      </c>
      <c r="AG283" s="70" t="s">
        <v>1512</v>
      </c>
      <c r="AH283" s="14" t="s">
        <v>84</v>
      </c>
      <c r="AI283" s="9">
        <v>15.075840062697946</v>
      </c>
      <c r="AJ283" s="70" t="s">
        <v>1512</v>
      </c>
      <c r="AK283" s="76" t="s">
        <v>91</v>
      </c>
      <c r="AL283" s="9">
        <v>14.914223584585132</v>
      </c>
      <c r="AM283" s="51" t="s">
        <v>196</v>
      </c>
      <c r="AN283" s="14" t="s">
        <v>84</v>
      </c>
      <c r="AO283" s="9">
        <v>14.712003561766918</v>
      </c>
      <c r="AP283" s="60"/>
      <c r="AQ283" s="51" t="s">
        <v>2415</v>
      </c>
      <c r="AR283" s="9">
        <v>8.6437816967199996</v>
      </c>
      <c r="AS283" s="67" t="s">
        <v>66</v>
      </c>
      <c r="AT283" s="9">
        <v>5.5862690180320005</v>
      </c>
      <c r="AU283" s="290" t="s">
        <v>2488</v>
      </c>
      <c r="AV283" s="9">
        <v>2.5</v>
      </c>
      <c r="AW283" s="14" t="s">
        <v>84</v>
      </c>
      <c r="AX283" s="9">
        <v>86.992544088100004</v>
      </c>
      <c r="AY283" s="76" t="s">
        <v>91</v>
      </c>
      <c r="AZ283" s="9">
        <v>1.8057712847902223</v>
      </c>
      <c r="BA283" s="76" t="s">
        <v>66</v>
      </c>
      <c r="BB283" s="76" t="s">
        <v>91</v>
      </c>
      <c r="BC283" s="9">
        <v>8.8064153498417017</v>
      </c>
      <c r="BD283" s="290" t="s">
        <v>196</v>
      </c>
      <c r="BE283" s="76" t="s">
        <v>91</v>
      </c>
      <c r="BF283" s="9">
        <v>8.3712496361073701</v>
      </c>
      <c r="BG283" s="291" t="s">
        <v>1510</v>
      </c>
      <c r="BH283" s="67" t="s">
        <v>91</v>
      </c>
      <c r="BI283" s="9">
        <v>8.3712496361073701</v>
      </c>
      <c r="BJ283" s="70" t="s">
        <v>1512</v>
      </c>
      <c r="BK283" s="76" t="s">
        <v>91</v>
      </c>
      <c r="BL283" s="9">
        <v>8.3712496361073701</v>
      </c>
      <c r="BM283" s="67" t="s">
        <v>66</v>
      </c>
      <c r="BN283" s="65" t="s">
        <v>84</v>
      </c>
      <c r="BO283" s="9">
        <v>8.2122778912600012</v>
      </c>
    </row>
    <row r="284" spans="1:67" x14ac:dyDescent="0.45">
      <c r="A284" s="10">
        <v>263</v>
      </c>
      <c r="B284" s="10" t="s">
        <v>989</v>
      </c>
      <c r="C284" s="64" t="s">
        <v>1889</v>
      </c>
      <c r="D284" s="65"/>
      <c r="E284" s="58" t="s">
        <v>1903</v>
      </c>
      <c r="F284" s="77"/>
      <c r="G284" s="77" t="s">
        <v>1888</v>
      </c>
      <c r="H284" s="10"/>
      <c r="I284" s="62">
        <v>57.69190073</v>
      </c>
      <c r="J284" s="62">
        <v>75.078500950000006</v>
      </c>
      <c r="K284" s="62">
        <v>103.52930131000001</v>
      </c>
      <c r="L284" s="49">
        <v>508.63270928641458</v>
      </c>
      <c r="M284" s="49">
        <v>585.86265525220176</v>
      </c>
      <c r="N284" s="49">
        <v>656.00785507434512</v>
      </c>
      <c r="O284" s="61">
        <v>7.2300066831279439</v>
      </c>
      <c r="P284" s="60"/>
      <c r="Q284" s="55" t="s">
        <v>53</v>
      </c>
      <c r="R284" s="9">
        <v>5.3268925547499997</v>
      </c>
      <c r="S284" s="15" t="s">
        <v>127</v>
      </c>
      <c r="T284" s="9">
        <v>5.4615140438000003</v>
      </c>
      <c r="U284" s="15" t="s">
        <v>127</v>
      </c>
      <c r="V284" s="9">
        <v>10</v>
      </c>
      <c r="W284" s="80" t="s">
        <v>1490</v>
      </c>
      <c r="X284" s="9">
        <v>29.845950365</v>
      </c>
      <c r="Y284" s="79" t="s">
        <v>23</v>
      </c>
      <c r="Z284" s="9">
        <v>10.369752049423077</v>
      </c>
      <c r="AA284" s="15" t="s">
        <v>127</v>
      </c>
      <c r="AB284" s="72" t="s">
        <v>23</v>
      </c>
      <c r="AC284" s="9">
        <v>7.140648098355264</v>
      </c>
      <c r="AD284" s="64" t="s">
        <v>127</v>
      </c>
      <c r="AE284" s="290" t="s">
        <v>182</v>
      </c>
      <c r="AF284" s="9">
        <v>6.851244068133334</v>
      </c>
      <c r="AG284" s="15" t="s">
        <v>127</v>
      </c>
      <c r="AH284" s="71" t="s">
        <v>1490</v>
      </c>
      <c r="AI284" s="9">
        <v>5.892115524123712</v>
      </c>
      <c r="AJ284" s="55" t="s">
        <v>53</v>
      </c>
      <c r="AK284" s="79" t="s">
        <v>23</v>
      </c>
      <c r="AL284" s="9">
        <v>5.8896503409065932</v>
      </c>
      <c r="AM284" s="55" t="s">
        <v>53</v>
      </c>
      <c r="AN284" s="51" t="s">
        <v>182</v>
      </c>
      <c r="AO284" s="9">
        <v>5.6345803406388884</v>
      </c>
      <c r="AP284" s="60"/>
      <c r="AQ284" s="55" t="s">
        <v>53</v>
      </c>
      <c r="AR284" s="9">
        <v>4.3749761927049997</v>
      </c>
      <c r="AS284" s="15" t="s">
        <v>127</v>
      </c>
      <c r="AT284" s="9">
        <v>2.3499904770820002</v>
      </c>
      <c r="AU284" s="58" t="s">
        <v>53</v>
      </c>
      <c r="AV284" s="9">
        <v>2.3333333333333002</v>
      </c>
      <c r="AW284" s="71" t="s">
        <v>1490</v>
      </c>
      <c r="AX284" s="9">
        <v>38.4997354745</v>
      </c>
      <c r="AY284" s="79" t="s">
        <v>23</v>
      </c>
      <c r="AZ284" s="9">
        <v>0.69499523854100009</v>
      </c>
      <c r="BA284" s="64" t="s">
        <v>127</v>
      </c>
      <c r="BB284" s="79" t="s">
        <v>23</v>
      </c>
      <c r="BC284" s="9">
        <v>3.59613553285</v>
      </c>
      <c r="BD284" s="64" t="s">
        <v>127</v>
      </c>
      <c r="BE284" s="290" t="s">
        <v>182</v>
      </c>
      <c r="BF284" s="9">
        <v>3.4868245630457899</v>
      </c>
      <c r="BG284" s="64" t="s">
        <v>127</v>
      </c>
      <c r="BH284" s="71" t="s">
        <v>1490</v>
      </c>
      <c r="BI284" s="9">
        <v>3.2316915745800001</v>
      </c>
      <c r="BJ284" s="55" t="s">
        <v>53</v>
      </c>
      <c r="BK284" s="79" t="s">
        <v>23</v>
      </c>
      <c r="BL284" s="9">
        <v>2.94265696257707</v>
      </c>
      <c r="BM284" s="55" t="s">
        <v>53</v>
      </c>
      <c r="BN284" s="290" t="s">
        <v>182</v>
      </c>
      <c r="BO284" s="9">
        <v>2.8132094423728202</v>
      </c>
    </row>
    <row r="285" spans="1:67" x14ac:dyDescent="0.45">
      <c r="A285" s="10">
        <v>264</v>
      </c>
      <c r="B285" s="10" t="s">
        <v>987</v>
      </c>
      <c r="C285" s="64" t="s">
        <v>1889</v>
      </c>
      <c r="D285" s="65"/>
      <c r="E285" s="58" t="s">
        <v>1903</v>
      </c>
      <c r="F285" s="77"/>
      <c r="G285" s="77" t="s">
        <v>1888</v>
      </c>
      <c r="H285" s="10"/>
      <c r="I285" s="62">
        <v>124.07710157000001</v>
      </c>
      <c r="J285" s="62">
        <v>113.01290143000001</v>
      </c>
      <c r="K285" s="62">
        <v>158.85030201000001</v>
      </c>
      <c r="L285" s="49">
        <v>1662.4541434762803</v>
      </c>
      <c r="M285" s="49">
        <v>1705.5788675940717</v>
      </c>
      <c r="N285" s="49">
        <v>1740.8827089451884</v>
      </c>
      <c r="O285" s="61">
        <v>16.129313056584472</v>
      </c>
      <c r="P285" s="60"/>
      <c r="Q285" s="68" t="s">
        <v>49</v>
      </c>
      <c r="R285" s="9">
        <v>6.5834695706500002</v>
      </c>
      <c r="S285" s="15" t="s">
        <v>127</v>
      </c>
      <c r="T285" s="9">
        <v>9.4446260942000002</v>
      </c>
      <c r="U285" s="15" t="s">
        <v>127</v>
      </c>
      <c r="V285" s="9">
        <v>10</v>
      </c>
      <c r="W285" s="80" t="s">
        <v>2417</v>
      </c>
      <c r="X285" s="9">
        <v>63.038550785000005</v>
      </c>
      <c r="Y285" s="290" t="s">
        <v>222</v>
      </c>
      <c r="Z285" s="9">
        <v>26.266062827083335</v>
      </c>
      <c r="AA285" s="15" t="s">
        <v>127</v>
      </c>
      <c r="AB285" s="72" t="s">
        <v>23</v>
      </c>
      <c r="AC285" s="9">
        <v>13.69181923388158</v>
      </c>
      <c r="AD285" s="77" t="s">
        <v>49</v>
      </c>
      <c r="AE285" s="79" t="s">
        <v>23</v>
      </c>
      <c r="AF285" s="9">
        <v>13.244696695088933</v>
      </c>
      <c r="AG285" s="15" t="s">
        <v>127</v>
      </c>
      <c r="AH285" s="51" t="s">
        <v>222</v>
      </c>
      <c r="AI285" s="9">
        <v>12.700388042500002</v>
      </c>
      <c r="AJ285" s="68" t="s">
        <v>49</v>
      </c>
      <c r="AK285" s="290" t="s">
        <v>222</v>
      </c>
      <c r="AL285" s="9">
        <v>12.234792551472029</v>
      </c>
      <c r="AM285" s="15" t="s">
        <v>127</v>
      </c>
      <c r="AN285" s="71" t="s">
        <v>1490</v>
      </c>
      <c r="AO285" s="9">
        <v>11.367183634639176</v>
      </c>
      <c r="AP285" s="60"/>
      <c r="AQ285" s="68" t="s">
        <v>49</v>
      </c>
      <c r="AR285" s="9">
        <v>5.8390069612300008</v>
      </c>
      <c r="AS285" s="15" t="s">
        <v>127</v>
      </c>
      <c r="AT285" s="9">
        <v>3.9034041767380003</v>
      </c>
      <c r="AU285" s="77" t="s">
        <v>49</v>
      </c>
      <c r="AV285" s="9">
        <v>4</v>
      </c>
      <c r="AW285" s="71" t="s">
        <v>2489</v>
      </c>
      <c r="AX285" s="9">
        <v>81.650116020500008</v>
      </c>
      <c r="AY285" s="79" t="s">
        <v>23</v>
      </c>
      <c r="AZ285" s="9">
        <v>1.4717020883690004</v>
      </c>
      <c r="BA285" s="77" t="s">
        <v>49</v>
      </c>
      <c r="BB285" s="79" t="s">
        <v>23</v>
      </c>
      <c r="BC285" s="9">
        <v>8.15399243897315</v>
      </c>
      <c r="BD285" s="77" t="s">
        <v>49</v>
      </c>
      <c r="BE285" s="290" t="s">
        <v>222</v>
      </c>
      <c r="BF285" s="9">
        <v>7.8401667643578135</v>
      </c>
      <c r="BG285" s="77" t="s">
        <v>49</v>
      </c>
      <c r="BH285" s="71" t="s">
        <v>1490</v>
      </c>
      <c r="BI285" s="9">
        <v>6.6685802682285722</v>
      </c>
      <c r="BJ285" s="15" t="s">
        <v>127</v>
      </c>
      <c r="BK285" s="79" t="s">
        <v>23</v>
      </c>
      <c r="BL285" s="9">
        <v>6.583469570650001</v>
      </c>
      <c r="BM285" s="15" t="s">
        <v>127</v>
      </c>
      <c r="BN285" s="290" t="s">
        <v>222</v>
      </c>
      <c r="BO285" s="9">
        <v>6.4113626233109686</v>
      </c>
    </row>
    <row r="286" spans="1:67" x14ac:dyDescent="0.45">
      <c r="A286" s="10">
        <v>265</v>
      </c>
      <c r="B286" s="10" t="s">
        <v>984</v>
      </c>
      <c r="C286" s="289" t="s">
        <v>1887</v>
      </c>
      <c r="D286" s="65"/>
      <c r="E286" s="287" t="s">
        <v>2203</v>
      </c>
      <c r="F286" s="58" t="s">
        <v>2204</v>
      </c>
      <c r="G286" s="242"/>
      <c r="H286" s="10"/>
      <c r="I286" s="62">
        <v>71.127000899999999</v>
      </c>
      <c r="J286" s="62">
        <v>58.482200740000003</v>
      </c>
      <c r="K286" s="62">
        <v>113.01290143000001</v>
      </c>
      <c r="L286" s="49">
        <v>578.24297183096041</v>
      </c>
      <c r="M286" s="49">
        <v>604.58516427823383</v>
      </c>
      <c r="N286" s="49">
        <v>626.5203536476414</v>
      </c>
      <c r="O286" s="61">
        <v>6.2440758881145833</v>
      </c>
      <c r="P286" s="60"/>
      <c r="Q286" s="69" t="s">
        <v>38</v>
      </c>
      <c r="R286" s="9">
        <v>3.133810027</v>
      </c>
      <c r="S286" s="69" t="s">
        <v>38</v>
      </c>
      <c r="T286" s="9">
        <v>6.267620054</v>
      </c>
      <c r="U286" s="69" t="s">
        <v>38</v>
      </c>
      <c r="V286" s="9">
        <v>12</v>
      </c>
      <c r="W286" s="64" t="s">
        <v>645</v>
      </c>
      <c r="X286" s="9">
        <v>13.4472251575</v>
      </c>
      <c r="Y286" s="64" t="s">
        <v>645</v>
      </c>
      <c r="Z286" s="9">
        <v>6.1123750715909084</v>
      </c>
      <c r="AA286" s="69" t="s">
        <v>38</v>
      </c>
      <c r="AB286" s="15" t="s">
        <v>645</v>
      </c>
      <c r="AC286" s="9">
        <v>6.1990073162388395</v>
      </c>
      <c r="AD286" s="64" t="s">
        <v>127</v>
      </c>
      <c r="AE286" s="64" t="s">
        <v>645</v>
      </c>
      <c r="AF286" s="9">
        <v>5.777420236295181</v>
      </c>
      <c r="AG286" s="15"/>
      <c r="AH286" s="51"/>
      <c r="AI286" s="9"/>
      <c r="AJ286" s="68"/>
      <c r="AK286" s="78"/>
      <c r="AL286" s="9"/>
      <c r="AM286" s="15"/>
      <c r="AN286" s="71"/>
      <c r="AO286" s="9"/>
      <c r="AP286" s="60"/>
      <c r="AQ286" s="69" t="s">
        <v>38</v>
      </c>
      <c r="AR286" s="9">
        <v>2.66437182106</v>
      </c>
      <c r="AS286" s="69" t="s">
        <v>38</v>
      </c>
      <c r="AT286" s="9">
        <v>2.66437182106</v>
      </c>
      <c r="AU286" s="289" t="s">
        <v>38</v>
      </c>
      <c r="AV286" s="9">
        <v>3</v>
      </c>
      <c r="AW286" s="15" t="s">
        <v>645</v>
      </c>
      <c r="AX286" s="9">
        <v>17.181392704749999</v>
      </c>
      <c r="AY286" s="64" t="s">
        <v>645</v>
      </c>
      <c r="AZ286" s="9">
        <v>0.17181392704749998</v>
      </c>
      <c r="BA286" s="289" t="s">
        <v>38</v>
      </c>
      <c r="BB286" s="64" t="s">
        <v>645</v>
      </c>
      <c r="BC286" s="9">
        <v>3.0871976720412619</v>
      </c>
      <c r="BD286" s="64" t="s">
        <v>127</v>
      </c>
      <c r="BE286" s="64" t="s">
        <v>645</v>
      </c>
      <c r="BF286" s="9">
        <v>2.6770631094558826</v>
      </c>
      <c r="BG286" s="78"/>
      <c r="BH286" s="71"/>
      <c r="BI286" s="9"/>
      <c r="BJ286" s="15"/>
      <c r="BK286" s="76"/>
      <c r="BL286" s="9"/>
      <c r="BM286" s="15"/>
      <c r="BN286" s="78"/>
      <c r="BO286" s="9"/>
    </row>
    <row r="287" spans="1:67" x14ac:dyDescent="0.45">
      <c r="A287" s="10">
        <v>266</v>
      </c>
      <c r="B287" s="10" t="s">
        <v>983</v>
      </c>
      <c r="C287" s="289" t="s">
        <v>1887</v>
      </c>
      <c r="D287" s="65"/>
      <c r="E287" s="287" t="s">
        <v>2203</v>
      </c>
      <c r="F287" s="58" t="s">
        <v>2204</v>
      </c>
      <c r="G287" s="242"/>
      <c r="H287" s="10"/>
      <c r="I287" s="62">
        <v>59.272500750000006</v>
      </c>
      <c r="J287" s="62">
        <v>72.707600920000004</v>
      </c>
      <c r="K287" s="62">
        <v>120.12560152</v>
      </c>
      <c r="L287" s="49">
        <v>553.9377286409283</v>
      </c>
      <c r="M287" s="49">
        <v>644.73180388372225</v>
      </c>
      <c r="N287" s="49">
        <v>727.97021835084252</v>
      </c>
      <c r="O287" s="61">
        <v>8.1420550093058122</v>
      </c>
      <c r="P287" s="60"/>
      <c r="Q287" s="69" t="s">
        <v>38</v>
      </c>
      <c r="R287" s="9">
        <v>2.7781750225000001</v>
      </c>
      <c r="S287" s="69" t="s">
        <v>38</v>
      </c>
      <c r="T287" s="9">
        <v>5.5563500450000003</v>
      </c>
      <c r="U287" s="69" t="s">
        <v>38</v>
      </c>
      <c r="V287" s="9">
        <v>12</v>
      </c>
      <c r="W287" s="64" t="s">
        <v>645</v>
      </c>
      <c r="X287" s="9">
        <v>11.372687631250001</v>
      </c>
      <c r="Y287" s="64" t="s">
        <v>645</v>
      </c>
      <c r="Z287" s="9">
        <v>5.1694034687499997</v>
      </c>
      <c r="AA287" s="69" t="s">
        <v>38</v>
      </c>
      <c r="AB287" s="15" t="s">
        <v>645</v>
      </c>
      <c r="AC287" s="9">
        <v>5.3853334778180812</v>
      </c>
      <c r="AD287" s="63" t="s">
        <v>92</v>
      </c>
      <c r="AE287" s="64" t="s">
        <v>645</v>
      </c>
      <c r="AF287" s="9">
        <v>4.5857598129119586</v>
      </c>
      <c r="AI287" s="9"/>
      <c r="AK287" s="78"/>
      <c r="AL287" s="9"/>
      <c r="AO287" s="9"/>
      <c r="AP287" s="60"/>
      <c r="AQ287" s="69" t="s">
        <v>38</v>
      </c>
      <c r="AR287" s="9">
        <v>2.3869765175500004</v>
      </c>
      <c r="AS287" s="69" t="s">
        <v>38</v>
      </c>
      <c r="AT287" s="9">
        <v>2.3869765175500004</v>
      </c>
      <c r="AU287" s="63" t="s">
        <v>2450</v>
      </c>
      <c r="AV287" s="9">
        <v>3</v>
      </c>
      <c r="AW287" s="15" t="s">
        <v>645</v>
      </c>
      <c r="AX287" s="9">
        <v>14.484493920625003</v>
      </c>
      <c r="AY287" s="64" t="s">
        <v>645</v>
      </c>
      <c r="AZ287" s="9">
        <v>0.14484493920625002</v>
      </c>
      <c r="BA287" s="289" t="s">
        <v>38</v>
      </c>
      <c r="BB287" s="64" t="s">
        <v>645</v>
      </c>
      <c r="BC287" s="9">
        <v>2.7393313933677188</v>
      </c>
      <c r="BD287" s="63" t="s">
        <v>92</v>
      </c>
      <c r="BE287" s="64" t="s">
        <v>645</v>
      </c>
      <c r="BF287" s="9">
        <v>1.4683899999332524</v>
      </c>
      <c r="BG287" s="78"/>
      <c r="BI287" s="9"/>
      <c r="BK287" s="76"/>
      <c r="BL287" s="9"/>
      <c r="BN287" s="78"/>
      <c r="BO287" s="9"/>
    </row>
    <row r="288" spans="1:67" x14ac:dyDescent="0.45">
      <c r="A288" s="10">
        <v>267</v>
      </c>
      <c r="B288" s="10" t="s">
        <v>982</v>
      </c>
      <c r="C288" s="287" t="s">
        <v>2108</v>
      </c>
      <c r="D288" s="56" t="s">
        <v>2025</v>
      </c>
      <c r="E288" s="287" t="s">
        <v>2205</v>
      </c>
      <c r="F288" s="289" t="s">
        <v>1887</v>
      </c>
      <c r="G288" s="58" t="s">
        <v>2164</v>
      </c>
      <c r="H288" s="80" t="s">
        <v>1892</v>
      </c>
      <c r="I288" s="62">
        <v>161.22120204000001</v>
      </c>
      <c r="J288" s="62">
        <v>89.30390113</v>
      </c>
      <c r="K288" s="62">
        <v>134.35100170000001</v>
      </c>
      <c r="L288" s="49">
        <v>1765.9476482922855</v>
      </c>
      <c r="M288" s="49">
        <v>1552.4668296920868</v>
      </c>
      <c r="N288" s="49">
        <v>1400.418804470087</v>
      </c>
      <c r="O288" s="61">
        <v>11.014436430537842</v>
      </c>
      <c r="P288" s="60"/>
      <c r="Q288" s="69" t="s">
        <v>1523</v>
      </c>
      <c r="R288" s="9">
        <v>15.5099081836</v>
      </c>
      <c r="S288" s="69" t="s">
        <v>1523</v>
      </c>
      <c r="T288" s="9">
        <v>10.339938789066666</v>
      </c>
      <c r="U288" s="69" t="s">
        <v>10</v>
      </c>
      <c r="V288" s="9">
        <v>12.727</v>
      </c>
      <c r="W288" s="289" t="s">
        <v>126</v>
      </c>
      <c r="X288" s="9">
        <v>88.059449101599995</v>
      </c>
      <c r="Y288" s="289" t="s">
        <v>126</v>
      </c>
      <c r="Z288" s="9">
        <v>23.799851108540537</v>
      </c>
      <c r="AA288" s="69" t="s">
        <v>10</v>
      </c>
      <c r="AB288" s="69" t="s">
        <v>126</v>
      </c>
      <c r="AC288" s="9">
        <v>16.540223722307115</v>
      </c>
      <c r="AD288" s="289" t="s">
        <v>1523</v>
      </c>
      <c r="AE288" s="289" t="s">
        <v>126</v>
      </c>
      <c r="AF288" s="9">
        <v>16.064269315739462</v>
      </c>
      <c r="AG288" s="69" t="s">
        <v>10</v>
      </c>
      <c r="AH288" s="69" t="s">
        <v>1509</v>
      </c>
      <c r="AI288" s="9">
        <v>14.895513248777691</v>
      </c>
      <c r="AJ288" s="69" t="s">
        <v>1523</v>
      </c>
      <c r="AK288" s="289" t="s">
        <v>1509</v>
      </c>
      <c r="AL288" s="9">
        <v>14.670052249339653</v>
      </c>
      <c r="AM288" s="69" t="s">
        <v>10</v>
      </c>
      <c r="AN288" s="16" t="s">
        <v>210</v>
      </c>
      <c r="AO288" s="9">
        <v>14.657526556051724</v>
      </c>
      <c r="AP288" s="60"/>
      <c r="AQ288" s="69" t="s">
        <v>1523</v>
      </c>
      <c r="AR288" s="9">
        <v>12.317728383208001</v>
      </c>
      <c r="AS288" s="69" t="s">
        <v>1523</v>
      </c>
      <c r="AT288" s="9">
        <v>4.1059094610693334</v>
      </c>
      <c r="AU288" s="289" t="s">
        <v>10</v>
      </c>
      <c r="AV288" s="9">
        <v>3.6666666666666998</v>
      </c>
      <c r="AW288" s="69" t="s">
        <v>126</v>
      </c>
      <c r="AX288" s="9">
        <v>114.17728383208001</v>
      </c>
      <c r="AY288" s="289" t="s">
        <v>1509</v>
      </c>
      <c r="AZ288" s="9">
        <v>1.9783728069742224</v>
      </c>
      <c r="BA288" s="289" t="s">
        <v>10</v>
      </c>
      <c r="BB288" s="289" t="s">
        <v>1509</v>
      </c>
      <c r="BC288" s="9">
        <v>9.3412766503320555</v>
      </c>
      <c r="BD288" s="289" t="s">
        <v>10</v>
      </c>
      <c r="BE288" s="289" t="s">
        <v>126</v>
      </c>
      <c r="BF288" s="9">
        <v>9.2599961124670163</v>
      </c>
      <c r="BG288" s="289" t="s">
        <v>1523</v>
      </c>
      <c r="BH288" s="69" t="s">
        <v>1509</v>
      </c>
      <c r="BI288" s="9">
        <v>8.8567271870984623</v>
      </c>
      <c r="BJ288" s="69" t="s">
        <v>1523</v>
      </c>
      <c r="BK288" s="289" t="s">
        <v>126</v>
      </c>
      <c r="BL288" s="9">
        <v>8.7897977321761704</v>
      </c>
      <c r="BM288" s="69" t="s">
        <v>1523</v>
      </c>
      <c r="BN288" s="287" t="s">
        <v>210</v>
      </c>
      <c r="BO288" s="9">
        <v>7.4513713382323701</v>
      </c>
    </row>
    <row r="289" spans="1:67" x14ac:dyDescent="0.45">
      <c r="A289" s="10">
        <v>268</v>
      </c>
      <c r="B289" s="10" t="s">
        <v>979</v>
      </c>
      <c r="C289" s="289" t="s">
        <v>1887</v>
      </c>
      <c r="D289" s="65"/>
      <c r="E289" s="287" t="s">
        <v>2203</v>
      </c>
      <c r="F289" s="58" t="s">
        <v>2204</v>
      </c>
      <c r="G289" s="242"/>
      <c r="H289" s="10"/>
      <c r="I289" s="62">
        <v>59.272500750000006</v>
      </c>
      <c r="J289" s="62">
        <v>72.707600920000004</v>
      </c>
      <c r="K289" s="62">
        <v>120.12560152</v>
      </c>
      <c r="L289" s="49">
        <v>553.9377286409283</v>
      </c>
      <c r="M289" s="49">
        <v>644.73180388372225</v>
      </c>
      <c r="N289" s="49">
        <v>727.97021835084252</v>
      </c>
      <c r="O289" s="61">
        <v>8.1420550093058122</v>
      </c>
      <c r="P289" s="60"/>
      <c r="Q289" s="69" t="s">
        <v>38</v>
      </c>
      <c r="R289" s="9">
        <v>2.7781750225000001</v>
      </c>
      <c r="S289" s="69" t="s">
        <v>38</v>
      </c>
      <c r="T289" s="9">
        <v>5.5563500450000003</v>
      </c>
      <c r="U289" s="69" t="s">
        <v>38</v>
      </c>
      <c r="V289" s="9">
        <v>12</v>
      </c>
      <c r="W289" s="64" t="s">
        <v>645</v>
      </c>
      <c r="X289" s="9">
        <v>11.372687631250001</v>
      </c>
      <c r="Y289" s="64" t="s">
        <v>645</v>
      </c>
      <c r="Z289" s="9">
        <v>5.1694034687499997</v>
      </c>
      <c r="AA289" s="69" t="s">
        <v>38</v>
      </c>
      <c r="AB289" s="15" t="s">
        <v>645</v>
      </c>
      <c r="AC289" s="9">
        <v>5.3853334778180812</v>
      </c>
      <c r="AD289" s="63" t="s">
        <v>92</v>
      </c>
      <c r="AE289" s="64" t="s">
        <v>645</v>
      </c>
      <c r="AF289" s="9">
        <v>4.5857598129119586</v>
      </c>
      <c r="AG289" s="69"/>
      <c r="AH289" s="69"/>
      <c r="AI289" s="9"/>
      <c r="AJ289" s="69"/>
      <c r="AK289" s="78"/>
      <c r="AL289" s="9"/>
      <c r="AM289" s="69"/>
      <c r="AN289" s="69"/>
      <c r="AO289" s="9"/>
      <c r="AP289" s="60"/>
      <c r="AQ289" s="69" t="s">
        <v>38</v>
      </c>
      <c r="AR289" s="9">
        <v>2.3869765175500004</v>
      </c>
      <c r="AS289" s="69" t="s">
        <v>38</v>
      </c>
      <c r="AT289" s="9">
        <v>2.3869765175500004</v>
      </c>
      <c r="AU289" s="63" t="s">
        <v>2450</v>
      </c>
      <c r="AV289" s="9">
        <v>3</v>
      </c>
      <c r="AW289" s="15" t="s">
        <v>645</v>
      </c>
      <c r="AX289" s="9">
        <v>14.484493920625003</v>
      </c>
      <c r="AY289" s="64" t="s">
        <v>645</v>
      </c>
      <c r="AZ289" s="9">
        <v>0.14484493920625002</v>
      </c>
      <c r="BA289" s="289" t="s">
        <v>38</v>
      </c>
      <c r="BB289" s="64" t="s">
        <v>645</v>
      </c>
      <c r="BC289" s="9">
        <v>2.7393313933677188</v>
      </c>
      <c r="BD289" s="63" t="s">
        <v>92</v>
      </c>
      <c r="BE289" s="64" t="s">
        <v>645</v>
      </c>
      <c r="BF289" s="9">
        <v>1.4683899999332524</v>
      </c>
      <c r="BG289" s="78"/>
      <c r="BH289" s="69"/>
      <c r="BI289" s="9"/>
      <c r="BJ289" s="69"/>
      <c r="BK289" s="76"/>
      <c r="BL289" s="9"/>
      <c r="BM289" s="69"/>
      <c r="BN289" s="78"/>
      <c r="BO289" s="9"/>
    </row>
    <row r="290" spans="1:67" x14ac:dyDescent="0.45">
      <c r="A290" s="10">
        <v>269</v>
      </c>
      <c r="B290" s="10" t="s">
        <v>978</v>
      </c>
      <c r="C290" s="63" t="s">
        <v>2109</v>
      </c>
      <c r="D290" s="65"/>
      <c r="E290" s="287" t="s">
        <v>2206</v>
      </c>
      <c r="F290" s="63" t="s">
        <v>2207</v>
      </c>
      <c r="G290" s="58" t="s">
        <v>2164</v>
      </c>
      <c r="H290" s="10"/>
      <c r="I290" s="62">
        <v>89.30390113</v>
      </c>
      <c r="J290" s="62">
        <v>139.88310177</v>
      </c>
      <c r="K290" s="62">
        <v>134.35100170000001</v>
      </c>
      <c r="L290" s="49">
        <v>1224.2595831143442</v>
      </c>
      <c r="M290" s="49">
        <v>1412.2699845935881</v>
      </c>
      <c r="N290" s="49">
        <v>1583.2631450796089</v>
      </c>
      <c r="O290" s="61">
        <v>16.487159792543878</v>
      </c>
      <c r="P290" s="60"/>
      <c r="Q290" s="57" t="s">
        <v>101</v>
      </c>
      <c r="R290" s="9">
        <v>9.9303901129999996</v>
      </c>
      <c r="S290" s="57" t="s">
        <v>101</v>
      </c>
      <c r="T290" s="9">
        <v>6.2064938206249991</v>
      </c>
      <c r="U290" s="69" t="s">
        <v>1523</v>
      </c>
      <c r="V290" s="9">
        <v>10</v>
      </c>
      <c r="W290" s="289" t="s">
        <v>126</v>
      </c>
      <c r="X290" s="9">
        <v>49.224106610199996</v>
      </c>
      <c r="Y290" s="63" t="s">
        <v>124</v>
      </c>
      <c r="Z290" s="9">
        <v>19.072118496695651</v>
      </c>
      <c r="AA290" s="69" t="s">
        <v>1523</v>
      </c>
      <c r="AB290" s="54" t="s">
        <v>124</v>
      </c>
      <c r="AC290" s="9">
        <v>10.135667974621004</v>
      </c>
      <c r="AD290" s="242" t="s">
        <v>101</v>
      </c>
      <c r="AE290" s="63" t="s">
        <v>124</v>
      </c>
      <c r="AF290" s="9">
        <v>10.08303575358952</v>
      </c>
      <c r="AG290" s="69" t="s">
        <v>1523</v>
      </c>
      <c r="AH290" s="69" t="s">
        <v>126</v>
      </c>
      <c r="AI290" s="9">
        <v>9.1205299175325649</v>
      </c>
      <c r="AJ290" s="57" t="s">
        <v>101</v>
      </c>
      <c r="AK290" s="289" t="s">
        <v>126</v>
      </c>
      <c r="AL290" s="9">
        <v>9.1135136885830264</v>
      </c>
      <c r="AM290" s="57" t="s">
        <v>101</v>
      </c>
      <c r="AN290" s="69" t="s">
        <v>1509</v>
      </c>
      <c r="AO290" s="9">
        <v>8.3487985992557423</v>
      </c>
      <c r="AP290" s="60"/>
      <c r="AQ290" s="57" t="s">
        <v>101</v>
      </c>
      <c r="AR290" s="9">
        <v>10.28760571752</v>
      </c>
      <c r="AS290" s="57" t="s">
        <v>101</v>
      </c>
      <c r="AT290" s="9">
        <v>2.57190142938</v>
      </c>
      <c r="AU290" s="242" t="s">
        <v>101</v>
      </c>
      <c r="AV290" s="9">
        <v>3</v>
      </c>
      <c r="AW290" s="69" t="s">
        <v>126</v>
      </c>
      <c r="AX290" s="9">
        <v>63.691338593259999</v>
      </c>
      <c r="AY290" s="63" t="s">
        <v>124</v>
      </c>
      <c r="AZ290" s="9">
        <v>1.1345126861024</v>
      </c>
      <c r="BA290" s="242" t="s">
        <v>101</v>
      </c>
      <c r="BB290" s="63" t="s">
        <v>124</v>
      </c>
      <c r="BC290" s="9">
        <v>5.6372070638558496</v>
      </c>
      <c r="BD290" s="242" t="s">
        <v>101</v>
      </c>
      <c r="BE290" s="289" t="s">
        <v>1509</v>
      </c>
      <c r="BF290" s="9">
        <v>5.5211532161049997</v>
      </c>
      <c r="BG290" s="242" t="s">
        <v>101</v>
      </c>
      <c r="BH290" s="69" t="s">
        <v>126</v>
      </c>
      <c r="BI290" s="9">
        <v>5.4823508181361902</v>
      </c>
      <c r="BJ290" s="69" t="s">
        <v>1523</v>
      </c>
      <c r="BK290" s="63" t="s">
        <v>124</v>
      </c>
      <c r="BL290" s="9">
        <v>5.1725428316915192</v>
      </c>
      <c r="BM290" s="69" t="s">
        <v>1523</v>
      </c>
      <c r="BN290" s="289" t="s">
        <v>1509</v>
      </c>
      <c r="BO290" s="9">
        <v>5.0712619846539164</v>
      </c>
    </row>
    <row r="291" spans="1:67" x14ac:dyDescent="0.45">
      <c r="A291" s="10">
        <v>270</v>
      </c>
      <c r="B291" s="10" t="s">
        <v>975</v>
      </c>
      <c r="C291" s="288" t="s">
        <v>2161</v>
      </c>
      <c r="D291" s="65"/>
      <c r="E291" s="63" t="s">
        <v>2318</v>
      </c>
      <c r="F291" s="80" t="s">
        <v>2119</v>
      </c>
      <c r="G291" s="288" t="s">
        <v>1993</v>
      </c>
      <c r="H291" s="10"/>
      <c r="I291" s="62">
        <v>67.965800860000002</v>
      </c>
      <c r="J291" s="62">
        <v>72.707600920000004</v>
      </c>
      <c r="K291" s="62">
        <v>106.69050135000001</v>
      </c>
      <c r="L291" s="49">
        <v>598.60897508601181</v>
      </c>
      <c r="M291" s="49">
        <v>652.62545087722265</v>
      </c>
      <c r="N291" s="49">
        <v>699.32754104061405</v>
      </c>
      <c r="O291" s="61">
        <v>7.2314304358966099</v>
      </c>
      <c r="P291" s="60"/>
      <c r="Q291" s="72" t="s">
        <v>64</v>
      </c>
      <c r="R291" s="9">
        <v>6.3013324670799999</v>
      </c>
      <c r="S291" s="72" t="s">
        <v>64</v>
      </c>
      <c r="T291" s="9">
        <v>6.3013324670799999</v>
      </c>
      <c r="U291" s="73" t="s">
        <v>121</v>
      </c>
      <c r="V291" s="9">
        <v>10</v>
      </c>
      <c r="W291" s="79" t="s">
        <v>33</v>
      </c>
      <c r="X291" s="9">
        <v>37.701532464399996</v>
      </c>
      <c r="Y291" s="288" t="s">
        <v>1524</v>
      </c>
      <c r="Z291" s="9">
        <v>10.184613806421051</v>
      </c>
      <c r="AA291" s="73" t="s">
        <v>121</v>
      </c>
      <c r="AB291" s="72" t="s">
        <v>33</v>
      </c>
      <c r="AC291" s="9">
        <v>7.6507048002696614</v>
      </c>
      <c r="AD291" s="288" t="s">
        <v>121</v>
      </c>
      <c r="AE291" s="288" t="s">
        <v>1524</v>
      </c>
      <c r="AF291" s="9">
        <v>7.5689031345605091</v>
      </c>
      <c r="AG291" s="72" t="s">
        <v>64</v>
      </c>
      <c r="AH291" s="72" t="s">
        <v>33</v>
      </c>
      <c r="AI291" s="9">
        <v>7.490004535637774</v>
      </c>
      <c r="AJ291" s="72" t="s">
        <v>64</v>
      </c>
      <c r="AK291" s="288" t="s">
        <v>1524</v>
      </c>
      <c r="AL291" s="9">
        <v>7.4088587389864191</v>
      </c>
      <c r="AM291" s="57"/>
      <c r="AN291" s="69"/>
      <c r="AO291" s="9"/>
      <c r="AP291" s="60"/>
      <c r="AQ291" s="72" t="s">
        <v>64</v>
      </c>
      <c r="AR291" s="9">
        <v>6.8314657137879999</v>
      </c>
      <c r="AS291" s="72" t="s">
        <v>64</v>
      </c>
      <c r="AT291" s="9">
        <v>3.415732856894</v>
      </c>
      <c r="AU291" s="288" t="s">
        <v>121</v>
      </c>
      <c r="AV291" s="9">
        <v>3</v>
      </c>
      <c r="AW291" s="72" t="s">
        <v>33</v>
      </c>
      <c r="AX291" s="9">
        <v>48.711992203720001</v>
      </c>
      <c r="AY291" s="79" t="s">
        <v>33</v>
      </c>
      <c r="AZ291" s="9">
        <v>0.81186653672866671</v>
      </c>
      <c r="BA291" s="79" t="s">
        <v>64</v>
      </c>
      <c r="BB291" s="79" t="s">
        <v>33</v>
      </c>
      <c r="BC291" s="9">
        <v>4.876902513243226</v>
      </c>
      <c r="BD291" s="288" t="s">
        <v>121</v>
      </c>
      <c r="BE291" s="79" t="s">
        <v>33</v>
      </c>
      <c r="BF291" s="9">
        <v>4.7866660479142853</v>
      </c>
      <c r="BG291" s="79" t="s">
        <v>64</v>
      </c>
      <c r="BH291" s="73" t="s">
        <v>1524</v>
      </c>
      <c r="BI291" s="9">
        <v>3.931808966932381</v>
      </c>
      <c r="BJ291" s="73" t="s">
        <v>121</v>
      </c>
      <c r="BK291" s="288" t="s">
        <v>1524</v>
      </c>
      <c r="BL291" s="9">
        <v>3.4040926304199997</v>
      </c>
      <c r="BM291" s="69"/>
      <c r="BN291" s="78"/>
      <c r="BO291" s="9"/>
    </row>
    <row r="292" spans="1:67" x14ac:dyDescent="0.45">
      <c r="A292" s="10">
        <v>271</v>
      </c>
      <c r="B292" s="10" t="s">
        <v>972</v>
      </c>
      <c r="C292" s="288" t="s">
        <v>2161</v>
      </c>
      <c r="D292" s="65"/>
      <c r="E292" s="63" t="s">
        <v>2318</v>
      </c>
      <c r="F292" s="80" t="s">
        <v>2119</v>
      </c>
      <c r="G292" s="288" t="s">
        <v>1993</v>
      </c>
      <c r="H292" s="10"/>
      <c r="I292" s="62">
        <v>100.36810127000001</v>
      </c>
      <c r="J292" s="62">
        <v>105.90020134000001</v>
      </c>
      <c r="K292" s="62">
        <v>134.35100170000001</v>
      </c>
      <c r="L292" s="49">
        <v>1197.1940663934242</v>
      </c>
      <c r="M292" s="49">
        <v>1268.1061302249998</v>
      </c>
      <c r="N292" s="49">
        <v>1327.8482301167478</v>
      </c>
      <c r="O292" s="61">
        <v>12.865354498553405</v>
      </c>
      <c r="P292" s="60"/>
      <c r="Q292" s="72" t="s">
        <v>64</v>
      </c>
      <c r="R292" s="9">
        <v>8.82871189906</v>
      </c>
      <c r="S292" s="72" t="s">
        <v>64</v>
      </c>
      <c r="T292" s="9">
        <v>8.82871189906</v>
      </c>
      <c r="U292" s="73" t="s">
        <v>214</v>
      </c>
      <c r="V292" s="9">
        <v>11.667</v>
      </c>
      <c r="W292" s="79" t="s">
        <v>23</v>
      </c>
      <c r="X292" s="9">
        <v>55.198774685800004</v>
      </c>
      <c r="Y292" s="79" t="s">
        <v>23</v>
      </c>
      <c r="Z292" s="9">
        <v>21.230297956076924</v>
      </c>
      <c r="AA292" s="73" t="s">
        <v>214</v>
      </c>
      <c r="AB292" s="72" t="s">
        <v>23</v>
      </c>
      <c r="AC292" s="9">
        <v>12.283278113829875</v>
      </c>
      <c r="AD292" s="79" t="s">
        <v>64</v>
      </c>
      <c r="AE292" s="79" t="s">
        <v>23</v>
      </c>
      <c r="AF292" s="9">
        <v>12.138226066768327</v>
      </c>
      <c r="AG292" s="72" t="s">
        <v>64</v>
      </c>
      <c r="AH292" s="73" t="s">
        <v>1524</v>
      </c>
      <c r="AI292" s="9">
        <v>10.528651351729092</v>
      </c>
      <c r="AJ292" s="72" t="s">
        <v>64</v>
      </c>
      <c r="AK292" s="291" t="s">
        <v>189</v>
      </c>
      <c r="AL292" s="9">
        <v>10.459577482264022</v>
      </c>
      <c r="AM292" s="73" t="s">
        <v>214</v>
      </c>
      <c r="AN292" s="73" t="s">
        <v>1524</v>
      </c>
      <c r="AO292" s="9">
        <v>10.024147134863863</v>
      </c>
      <c r="AP292" s="60"/>
      <c r="AQ292" s="72" t="s">
        <v>64</v>
      </c>
      <c r="AR292" s="9">
        <v>9.6115830889660021</v>
      </c>
      <c r="AS292" s="72" t="s">
        <v>64</v>
      </c>
      <c r="AT292" s="9">
        <v>4.8057915444830011</v>
      </c>
      <c r="AU292" s="288" t="s">
        <v>214</v>
      </c>
      <c r="AV292" s="9">
        <v>3.6666666666666998</v>
      </c>
      <c r="AW292" s="72" t="s">
        <v>23</v>
      </c>
      <c r="AX292" s="9">
        <v>71.45840709154001</v>
      </c>
      <c r="AY292" s="79" t="s">
        <v>23</v>
      </c>
      <c r="AZ292" s="9">
        <v>1.4291681418308002</v>
      </c>
      <c r="BA292" s="79" t="s">
        <v>64</v>
      </c>
      <c r="BB292" s="79" t="s">
        <v>23</v>
      </c>
      <c r="BC292" s="9">
        <v>7.3693536809082705</v>
      </c>
      <c r="BD292" s="288" t="s">
        <v>214</v>
      </c>
      <c r="BE292" s="79" t="s">
        <v>23</v>
      </c>
      <c r="BF292" s="9">
        <v>7.1378320122319261</v>
      </c>
      <c r="BG292" s="79" t="s">
        <v>64</v>
      </c>
      <c r="BH292" s="74" t="s">
        <v>189</v>
      </c>
      <c r="BI292" s="9">
        <v>6.7324423409204401</v>
      </c>
      <c r="BJ292" s="73" t="s">
        <v>214</v>
      </c>
      <c r="BK292" s="291" t="s">
        <v>189</v>
      </c>
      <c r="BL292" s="9">
        <v>6.0018866774493755</v>
      </c>
      <c r="BM292" s="72" t="s">
        <v>64</v>
      </c>
      <c r="BN292" s="288" t="s">
        <v>1524</v>
      </c>
      <c r="BO292" s="9">
        <v>5.5565528874909536</v>
      </c>
    </row>
    <row r="293" spans="1:67" x14ac:dyDescent="0.45">
      <c r="A293" s="10">
        <v>272</v>
      </c>
      <c r="B293" s="10" t="s">
        <v>240</v>
      </c>
      <c r="C293" s="288" t="s">
        <v>2161</v>
      </c>
      <c r="D293" s="65"/>
      <c r="E293" s="63" t="s">
        <v>2318</v>
      </c>
      <c r="F293" s="80" t="s">
        <v>2119</v>
      </c>
      <c r="G293" s="288" t="s">
        <v>1993</v>
      </c>
      <c r="H293" s="10"/>
      <c r="I293" s="62">
        <v>148.57640188000002</v>
      </c>
      <c r="J293" s="62">
        <v>150.94730191000002</v>
      </c>
      <c r="K293" s="62">
        <v>162.01150205000002</v>
      </c>
      <c r="L293" s="49">
        <v>2323.4612737764128</v>
      </c>
      <c r="M293" s="49">
        <v>2363.4551204298077</v>
      </c>
      <c r="N293" s="49">
        <v>2395.9452913550731</v>
      </c>
      <c r="O293" s="61">
        <v>21.24788778100481</v>
      </c>
      <c r="P293" s="60"/>
      <c r="Q293" s="72" t="s">
        <v>64</v>
      </c>
      <c r="R293" s="9">
        <v>12.588959346640001</v>
      </c>
      <c r="S293" s="72" t="s">
        <v>64</v>
      </c>
      <c r="T293" s="9">
        <v>12.588959346640001</v>
      </c>
      <c r="U293" s="73" t="s">
        <v>214</v>
      </c>
      <c r="V293" s="9">
        <v>11.667</v>
      </c>
      <c r="W293" s="79" t="s">
        <v>9</v>
      </c>
      <c r="X293" s="9">
        <v>161.46251403040003</v>
      </c>
      <c r="Y293" s="288" t="s">
        <v>197</v>
      </c>
      <c r="Z293" s="9">
        <v>35.421088929212125</v>
      </c>
      <c r="AA293" s="72" t="s">
        <v>64</v>
      </c>
      <c r="AB293" s="72" t="s">
        <v>9</v>
      </c>
      <c r="AC293" s="9">
        <v>17.602859509045231</v>
      </c>
      <c r="AD293" s="288" t="s">
        <v>214</v>
      </c>
      <c r="AE293" s="79" t="s">
        <v>9</v>
      </c>
      <c r="AF293" s="9">
        <v>17.589139414708967</v>
      </c>
      <c r="AG293" s="72" t="s">
        <v>64</v>
      </c>
      <c r="AH293" s="73" t="s">
        <v>197</v>
      </c>
      <c r="AI293" s="9">
        <v>16.706228615628415</v>
      </c>
      <c r="AJ293" s="73" t="s">
        <v>214</v>
      </c>
      <c r="AK293" s="288" t="s">
        <v>197</v>
      </c>
      <c r="AL293" s="9">
        <v>16.315472941804654</v>
      </c>
      <c r="AM293" s="72" t="s">
        <v>64</v>
      </c>
      <c r="AN293" s="74" t="s">
        <v>132</v>
      </c>
      <c r="AO293" s="9">
        <v>15.82370449843094</v>
      </c>
      <c r="AP293" s="60"/>
      <c r="AQ293" s="72" t="s">
        <v>64</v>
      </c>
      <c r="AR293" s="9">
        <v>13.747855281304002</v>
      </c>
      <c r="AS293" s="72" t="s">
        <v>64</v>
      </c>
      <c r="AT293" s="9">
        <v>6.8739276406520009</v>
      </c>
      <c r="AU293" s="288" t="s">
        <v>214</v>
      </c>
      <c r="AV293" s="9">
        <v>3.6666666666666998</v>
      </c>
      <c r="AW293" s="72" t="s">
        <v>9</v>
      </c>
      <c r="AX293" s="9">
        <v>174.83439019960002</v>
      </c>
      <c r="AY293" s="79" t="s">
        <v>9</v>
      </c>
      <c r="AZ293" s="9">
        <v>2.1854298774950003</v>
      </c>
      <c r="BA293" s="79" t="s">
        <v>64</v>
      </c>
      <c r="BB293" s="79" t="s">
        <v>9</v>
      </c>
      <c r="BC293" s="9">
        <v>10.970524288431221</v>
      </c>
      <c r="BD293" s="288" t="s">
        <v>214</v>
      </c>
      <c r="BE293" s="79" t="s">
        <v>9</v>
      </c>
      <c r="BF293" s="9">
        <v>10.935743786376735</v>
      </c>
      <c r="BG293" s="79" t="s">
        <v>64</v>
      </c>
      <c r="BH293" s="73" t="s">
        <v>197</v>
      </c>
      <c r="BI293" s="9">
        <v>10.634513195604416</v>
      </c>
      <c r="BJ293" s="73" t="s">
        <v>214</v>
      </c>
      <c r="BK293" s="288" t="s">
        <v>197</v>
      </c>
      <c r="BL293" s="9">
        <v>10.332876048169155</v>
      </c>
      <c r="BM293" s="72" t="s">
        <v>64</v>
      </c>
      <c r="BN293" s="291" t="s">
        <v>132</v>
      </c>
      <c r="BO293" s="9">
        <v>9.9823206782610416</v>
      </c>
    </row>
    <row r="294" spans="1:67" x14ac:dyDescent="0.45">
      <c r="A294" s="10">
        <v>273</v>
      </c>
      <c r="B294" s="10" t="s">
        <v>968</v>
      </c>
      <c r="C294" s="79" t="s">
        <v>1983</v>
      </c>
      <c r="D294" s="65"/>
      <c r="E294" s="63" t="s">
        <v>2265</v>
      </c>
      <c r="F294" s="80" t="s">
        <v>2266</v>
      </c>
      <c r="G294" s="242"/>
      <c r="H294" s="10"/>
      <c r="I294" s="62">
        <v>67.965800860000002</v>
      </c>
      <c r="J294" s="62">
        <v>72.707600920000004</v>
      </c>
      <c r="K294" s="62">
        <v>106.69050135000001</v>
      </c>
      <c r="L294" s="49">
        <v>598.60897508601181</v>
      </c>
      <c r="M294" s="49">
        <v>652.62545087722265</v>
      </c>
      <c r="N294" s="49">
        <v>699.32754104061405</v>
      </c>
      <c r="O294" s="61">
        <v>7.2314304358966099</v>
      </c>
      <c r="P294" s="60"/>
      <c r="Q294" s="72" t="s">
        <v>225</v>
      </c>
      <c r="R294" s="9">
        <v>4.26235844128</v>
      </c>
      <c r="S294" s="15" t="s">
        <v>291</v>
      </c>
      <c r="T294" s="9">
        <v>4.6482900430000003</v>
      </c>
      <c r="U294" s="72" t="s">
        <v>225</v>
      </c>
      <c r="V294" s="9">
        <v>12.727</v>
      </c>
      <c r="W294" s="79" t="s">
        <v>2398</v>
      </c>
      <c r="X294" s="9">
        <v>37.701532464399996</v>
      </c>
      <c r="Y294" s="64" t="s">
        <v>52</v>
      </c>
      <c r="Z294" s="9">
        <v>18.420021643571427</v>
      </c>
      <c r="AA294" s="15" t="s">
        <v>291</v>
      </c>
      <c r="AB294" s="72" t="s">
        <v>23</v>
      </c>
      <c r="AC294" s="9">
        <v>8.5294988843030293</v>
      </c>
      <c r="AD294" s="79" t="s">
        <v>225</v>
      </c>
      <c r="AE294" s="79" t="s">
        <v>23</v>
      </c>
      <c r="AF294" s="9">
        <v>8.1065577304770216</v>
      </c>
      <c r="AG294" s="15" t="s">
        <v>291</v>
      </c>
      <c r="AH294" s="15" t="s">
        <v>52</v>
      </c>
      <c r="AI294" s="9">
        <v>7.5117193856930689</v>
      </c>
      <c r="AJ294" s="15" t="s">
        <v>291</v>
      </c>
      <c r="AK294" s="76" t="s">
        <v>30</v>
      </c>
      <c r="AL294" s="9">
        <v>7.2301984121666658</v>
      </c>
      <c r="AM294" s="15" t="s">
        <v>291</v>
      </c>
      <c r="AN294" s="72" t="s">
        <v>33</v>
      </c>
      <c r="AO294" s="9">
        <v>7.1259104603037962</v>
      </c>
      <c r="AP294" s="60"/>
      <c r="AQ294" s="72" t="s">
        <v>225</v>
      </c>
      <c r="AR294" s="9">
        <v>3.65066623354</v>
      </c>
      <c r="AS294" s="15" t="s">
        <v>291</v>
      </c>
      <c r="AT294" s="9">
        <v>1.6044442639750001</v>
      </c>
      <c r="AU294" s="79" t="s">
        <v>225</v>
      </c>
      <c r="AV294" s="9">
        <v>3.6666666666666998</v>
      </c>
      <c r="AW294" s="15" t="s">
        <v>52</v>
      </c>
      <c r="AX294" s="9">
        <v>58.431101726700007</v>
      </c>
      <c r="AY294" s="79" t="s">
        <v>23</v>
      </c>
      <c r="AZ294" s="9">
        <v>0.97423984407440001</v>
      </c>
      <c r="BA294" s="64" t="s">
        <v>291</v>
      </c>
      <c r="BB294" s="79" t="s">
        <v>23</v>
      </c>
      <c r="BC294" s="9">
        <v>4.6862464656405605</v>
      </c>
      <c r="BD294" s="79" t="s">
        <v>225</v>
      </c>
      <c r="BE294" s="79" t="s">
        <v>23</v>
      </c>
      <c r="BF294" s="9">
        <v>4.4618958131547828</v>
      </c>
      <c r="BG294" s="64" t="s">
        <v>291</v>
      </c>
      <c r="BH294" s="15" t="s">
        <v>52</v>
      </c>
      <c r="BI294" s="9">
        <v>4.3104755717238099</v>
      </c>
      <c r="BJ294" s="15" t="s">
        <v>291</v>
      </c>
      <c r="BK294" s="79" t="s">
        <v>33</v>
      </c>
      <c r="BL294" s="9">
        <v>4.2009232842759054</v>
      </c>
      <c r="BM294" s="72" t="s">
        <v>225</v>
      </c>
      <c r="BN294" s="64" t="s">
        <v>52</v>
      </c>
      <c r="BO294" s="9">
        <v>4.0646550015452494</v>
      </c>
    </row>
    <row r="295" spans="1:67" x14ac:dyDescent="0.45">
      <c r="A295" s="10">
        <v>274</v>
      </c>
      <c r="B295" s="10" t="s">
        <v>966</v>
      </c>
      <c r="C295" s="79" t="s">
        <v>2162</v>
      </c>
      <c r="D295" s="289" t="s">
        <v>1887</v>
      </c>
      <c r="E295" s="58" t="s">
        <v>2319</v>
      </c>
      <c r="F295" s="80" t="s">
        <v>2320</v>
      </c>
      <c r="G295" s="242" t="s">
        <v>1925</v>
      </c>
      <c r="H295" s="10"/>
      <c r="I295" s="62">
        <v>117.75470149</v>
      </c>
      <c r="J295" s="62">
        <v>73.49790093</v>
      </c>
      <c r="K295" s="62">
        <v>147.78610187000001</v>
      </c>
      <c r="L295" s="49">
        <v>1227.2485307146023</v>
      </c>
      <c r="M295" s="49">
        <v>1178.3053707271554</v>
      </c>
      <c r="N295" s="49">
        <v>1140.5599729791504</v>
      </c>
      <c r="O295" s="61">
        <v>10.118294842180999</v>
      </c>
      <c r="P295" s="60"/>
      <c r="Q295" s="72" t="s">
        <v>64</v>
      </c>
      <c r="R295" s="9">
        <v>10.18486671622</v>
      </c>
      <c r="S295" s="72" t="s">
        <v>64</v>
      </c>
      <c r="T295" s="9">
        <v>10.18486671622</v>
      </c>
      <c r="U295" s="67" t="s">
        <v>14</v>
      </c>
      <c r="V295" s="9">
        <v>10</v>
      </c>
      <c r="W295" s="79" t="s">
        <v>23</v>
      </c>
      <c r="X295" s="9">
        <v>64.587538804600001</v>
      </c>
      <c r="Y295" s="64" t="s">
        <v>52</v>
      </c>
      <c r="Z295" s="9">
        <v>30.867246801071431</v>
      </c>
      <c r="AA295" s="67" t="s">
        <v>14</v>
      </c>
      <c r="AB295" s="72" t="s">
        <v>23</v>
      </c>
      <c r="AC295" s="9">
        <v>14.39403441098538</v>
      </c>
      <c r="AD295" s="79" t="s">
        <v>64</v>
      </c>
      <c r="AE295" s="79" t="s">
        <v>23</v>
      </c>
      <c r="AF295" s="9">
        <v>14.096130607671554</v>
      </c>
      <c r="AG295" s="67" t="s">
        <v>14</v>
      </c>
      <c r="AH295" s="72" t="s">
        <v>169</v>
      </c>
      <c r="AI295" s="9">
        <v>14.010765657859174</v>
      </c>
      <c r="AJ295" s="72" t="s">
        <v>64</v>
      </c>
      <c r="AK295" s="79" t="s">
        <v>169</v>
      </c>
      <c r="AL295" s="9">
        <v>13.817042146035906</v>
      </c>
      <c r="AM295" s="67" t="s">
        <v>14</v>
      </c>
      <c r="AN295" s="67" t="s">
        <v>30</v>
      </c>
      <c r="AO295" s="9">
        <v>13.609156763526984</v>
      </c>
      <c r="AP295" s="60"/>
      <c r="AQ295" s="72" t="s">
        <v>64</v>
      </c>
      <c r="AR295" s="9">
        <v>11.103353387842001</v>
      </c>
      <c r="AS295" s="72" t="s">
        <v>64</v>
      </c>
      <c r="AT295" s="9">
        <v>5.5516766939210003</v>
      </c>
      <c r="AU295" s="76" t="s">
        <v>14</v>
      </c>
      <c r="AV295" s="9">
        <v>3</v>
      </c>
      <c r="AW295" s="15" t="s">
        <v>52</v>
      </c>
      <c r="AX295" s="9">
        <v>100.50272275905</v>
      </c>
      <c r="AY295" s="79" t="s">
        <v>169</v>
      </c>
      <c r="AZ295" s="9">
        <v>1.8655447718154285</v>
      </c>
      <c r="BA295" s="79" t="s">
        <v>64</v>
      </c>
      <c r="BB295" s="79" t="s">
        <v>169</v>
      </c>
      <c r="BC295" s="9">
        <v>8.7809950895760807</v>
      </c>
      <c r="BD295" s="79" t="s">
        <v>64</v>
      </c>
      <c r="BE295" s="79" t="s">
        <v>23</v>
      </c>
      <c r="BF295" s="9">
        <v>8.5559891459232702</v>
      </c>
      <c r="BG295" s="79" t="s">
        <v>64</v>
      </c>
      <c r="BH295" s="15" t="s">
        <v>52</v>
      </c>
      <c r="BI295" s="9">
        <v>8.1892057512856944</v>
      </c>
      <c r="BJ295" s="67" t="s">
        <v>14</v>
      </c>
      <c r="BK295" s="79" t="s">
        <v>169</v>
      </c>
      <c r="BL295" s="9">
        <v>8.1532447779192108</v>
      </c>
      <c r="BM295" s="72" t="s">
        <v>64</v>
      </c>
      <c r="BN295" s="76" t="s">
        <v>30</v>
      </c>
      <c r="BO295" s="9">
        <v>8.0939060692239373</v>
      </c>
    </row>
    <row r="296" spans="1:67" x14ac:dyDescent="0.45">
      <c r="A296" s="10">
        <v>275</v>
      </c>
      <c r="B296" s="10" t="s">
        <v>965</v>
      </c>
      <c r="C296" s="79" t="s">
        <v>2162</v>
      </c>
      <c r="D296" s="289" t="s">
        <v>1887</v>
      </c>
      <c r="E296" s="58" t="s">
        <v>2319</v>
      </c>
      <c r="F296" s="80" t="s">
        <v>2320</v>
      </c>
      <c r="G296" s="242" t="s">
        <v>1925</v>
      </c>
      <c r="H296" s="10"/>
      <c r="I296" s="62">
        <v>169.91450215</v>
      </c>
      <c r="J296" s="62">
        <v>107.48080136</v>
      </c>
      <c r="K296" s="62">
        <v>175.44660222000002</v>
      </c>
      <c r="L296" s="49">
        <v>2333.288154214099</v>
      </c>
      <c r="M296" s="49">
        <v>2173.3893604338746</v>
      </c>
      <c r="N296" s="49">
        <v>2053.3967253291034</v>
      </c>
      <c r="O296" s="61">
        <v>17.027059412080064</v>
      </c>
      <c r="P296" s="60"/>
      <c r="Q296" s="72" t="s">
        <v>64</v>
      </c>
      <c r="R296" s="9">
        <v>14.253331167699999</v>
      </c>
      <c r="S296" s="72" t="s">
        <v>64</v>
      </c>
      <c r="T296" s="9">
        <v>14.253331167699999</v>
      </c>
      <c r="U296" s="67" t="s">
        <v>20</v>
      </c>
      <c r="V296" s="9">
        <v>12.727</v>
      </c>
      <c r="W296" s="287" t="s">
        <v>1530</v>
      </c>
      <c r="X296" s="9">
        <v>94.452976182500009</v>
      </c>
      <c r="Y296" s="64" t="s">
        <v>52</v>
      </c>
      <c r="Z296" s="9">
        <v>43.907196966071432</v>
      </c>
      <c r="AA296" s="67" t="s">
        <v>20</v>
      </c>
      <c r="AB296" s="72" t="s">
        <v>169</v>
      </c>
      <c r="AC296" s="9">
        <v>20.695807558851993</v>
      </c>
      <c r="AD296" s="76" t="s">
        <v>20</v>
      </c>
      <c r="AE296" s="76" t="s">
        <v>30</v>
      </c>
      <c r="AF296" s="9">
        <v>20.178186510626507</v>
      </c>
      <c r="AG296" s="67" t="s">
        <v>14</v>
      </c>
      <c r="AH296" s="72" t="s">
        <v>169</v>
      </c>
      <c r="AI296" s="9">
        <v>19.853472010859175</v>
      </c>
      <c r="AJ296" s="72" t="s">
        <v>64</v>
      </c>
      <c r="AK296" s="79" t="s">
        <v>169</v>
      </c>
      <c r="AL296" s="9">
        <v>19.580977564714097</v>
      </c>
      <c r="AM296" s="67" t="s">
        <v>14</v>
      </c>
      <c r="AN296" s="67" t="s">
        <v>30</v>
      </c>
      <c r="AO296" s="9">
        <v>19.222544834555556</v>
      </c>
      <c r="AP296" s="60"/>
      <c r="AQ296" s="72" t="s">
        <v>64</v>
      </c>
      <c r="AR296" s="9">
        <v>15.578664284470001</v>
      </c>
      <c r="AS296" s="72" t="s">
        <v>64</v>
      </c>
      <c r="AT296" s="9">
        <v>7.7893321422350006</v>
      </c>
      <c r="AU296" s="76" t="s">
        <v>20</v>
      </c>
      <c r="AV296" s="9">
        <v>4.3333333333333002</v>
      </c>
      <c r="AW296" s="15" t="s">
        <v>52</v>
      </c>
      <c r="AX296" s="9">
        <v>144.57775431675</v>
      </c>
      <c r="AY296" s="79" t="s">
        <v>169</v>
      </c>
      <c r="AZ296" s="9">
        <v>2.6792376621114289</v>
      </c>
      <c r="BA296" s="76" t="s">
        <v>20</v>
      </c>
      <c r="BB296" s="79" t="s">
        <v>169</v>
      </c>
      <c r="BC296" s="9">
        <v>12.593105353351273</v>
      </c>
      <c r="BD296" s="79" t="s">
        <v>64</v>
      </c>
      <c r="BE296" s="79" t="s">
        <v>169</v>
      </c>
      <c r="BF296" s="9">
        <v>12.43711517097365</v>
      </c>
      <c r="BG296" s="79" t="s">
        <v>64</v>
      </c>
      <c r="BH296" s="15" t="s">
        <v>52</v>
      </c>
      <c r="BI296" s="9">
        <v>11.589010535971529</v>
      </c>
      <c r="BJ296" s="67" t="s">
        <v>14</v>
      </c>
      <c r="BK296" s="79" t="s">
        <v>169</v>
      </c>
      <c r="BL296" s="9">
        <v>11.525787678488161</v>
      </c>
      <c r="BM296" s="72" t="s">
        <v>64</v>
      </c>
      <c r="BN296" s="76" t="s">
        <v>30</v>
      </c>
      <c r="BO296" s="9">
        <v>11.448225164859043</v>
      </c>
    </row>
    <row r="297" spans="1:67" x14ac:dyDescent="0.45">
      <c r="A297" s="10">
        <v>276</v>
      </c>
      <c r="B297" s="10" t="s">
        <v>963</v>
      </c>
      <c r="C297" s="64" t="s">
        <v>2110</v>
      </c>
      <c r="D297" s="65"/>
      <c r="E297" s="56" t="s">
        <v>2208</v>
      </c>
      <c r="F297" s="289" t="s">
        <v>2118</v>
      </c>
      <c r="G297" s="80" t="s">
        <v>2191</v>
      </c>
      <c r="H297" s="10"/>
      <c r="I297" s="62">
        <v>95.626301210000008</v>
      </c>
      <c r="J297" s="62">
        <v>60.062800760000002</v>
      </c>
      <c r="K297" s="62">
        <v>106.69050135000001</v>
      </c>
      <c r="L297" s="49">
        <v>765.49617605516937</v>
      </c>
      <c r="M297" s="49">
        <v>721.44926549798754</v>
      </c>
      <c r="N297" s="49">
        <v>688.04368254490498</v>
      </c>
      <c r="O297" s="61">
        <v>6.0450478226151558</v>
      </c>
      <c r="P297" s="60"/>
      <c r="Q297" s="16" t="s">
        <v>1515</v>
      </c>
      <c r="R297" s="9">
        <v>6.7375780725999999</v>
      </c>
      <c r="S297" s="15" t="s">
        <v>291</v>
      </c>
      <c r="T297" s="9">
        <v>6.9875780725999999</v>
      </c>
      <c r="U297" s="15" t="s">
        <v>291</v>
      </c>
      <c r="V297" s="9">
        <v>12.5</v>
      </c>
      <c r="W297" s="287" t="s">
        <v>203</v>
      </c>
      <c r="X297" s="9">
        <v>32.556679399300002</v>
      </c>
      <c r="Y297" s="287" t="s">
        <v>203</v>
      </c>
      <c r="Z297" s="9">
        <v>13.565283083041669</v>
      </c>
      <c r="AA297" s="15" t="s">
        <v>291</v>
      </c>
      <c r="AB297" s="16" t="s">
        <v>203</v>
      </c>
      <c r="AC297" s="9">
        <v>10.103333077546054</v>
      </c>
      <c r="AD297" s="287" t="s">
        <v>1515</v>
      </c>
      <c r="AE297" s="287" t="s">
        <v>203</v>
      </c>
      <c r="AF297" s="9">
        <v>9.5956871467383724</v>
      </c>
      <c r="AG297" s="67"/>
      <c r="AH297" s="72"/>
      <c r="AI297" s="9"/>
      <c r="AJ297" s="72"/>
      <c r="AK297" s="78"/>
      <c r="AL297" s="9"/>
      <c r="AM297" s="67"/>
      <c r="AN297" s="67"/>
      <c r="AO297" s="9"/>
      <c r="AP297" s="60"/>
      <c r="AQ297" s="16" t="s">
        <v>1515</v>
      </c>
      <c r="AR297" s="9">
        <v>5.4753108966280006</v>
      </c>
      <c r="AS297" s="16" t="s">
        <v>1515</v>
      </c>
      <c r="AT297" s="9">
        <v>2.7376554483140003</v>
      </c>
      <c r="AU297" s="64" t="s">
        <v>291</v>
      </c>
      <c r="AV297" s="9">
        <v>3.5</v>
      </c>
      <c r="AW297" s="16" t="s">
        <v>203</v>
      </c>
      <c r="AX297" s="9">
        <v>42.023683219090003</v>
      </c>
      <c r="AY297" s="287" t="s">
        <v>203</v>
      </c>
      <c r="AZ297" s="9">
        <v>0.93385962709088899</v>
      </c>
      <c r="BA297" s="64" t="s">
        <v>291</v>
      </c>
      <c r="BB297" s="287" t="s">
        <v>203</v>
      </c>
      <c r="BC297" s="9">
        <v>5.2267004243008248</v>
      </c>
      <c r="BD297" s="287" t="s">
        <v>1515</v>
      </c>
      <c r="BE297" s="287" t="s">
        <v>203</v>
      </c>
      <c r="BF297" s="9">
        <v>4.8053411204601062</v>
      </c>
      <c r="BG297" s="78"/>
      <c r="BH297" s="15"/>
      <c r="BI297" s="9"/>
      <c r="BJ297" s="67"/>
      <c r="BK297" s="76"/>
      <c r="BL297" s="9"/>
      <c r="BM297" s="72"/>
      <c r="BN297" s="78"/>
      <c r="BO297" s="9"/>
    </row>
    <row r="298" spans="1:67" x14ac:dyDescent="0.45">
      <c r="A298" s="10">
        <v>277</v>
      </c>
      <c r="B298" s="10" t="s">
        <v>961</v>
      </c>
      <c r="C298" s="64" t="s">
        <v>2110</v>
      </c>
      <c r="D298" s="65"/>
      <c r="E298" s="56" t="s">
        <v>2208</v>
      </c>
      <c r="F298" s="289" t="s">
        <v>2118</v>
      </c>
      <c r="G298" s="80" t="s">
        <v>2191</v>
      </c>
      <c r="H298" s="10"/>
      <c r="I298" s="62">
        <v>158.060002</v>
      </c>
      <c r="J298" s="62">
        <v>109.85170139</v>
      </c>
      <c r="K298" s="62">
        <v>134.35100170000001</v>
      </c>
      <c r="L298" s="49">
        <v>1920.197196789195</v>
      </c>
      <c r="M298" s="49">
        <v>1758.9214820777572</v>
      </c>
      <c r="N298" s="49">
        <v>1639.7096419210709</v>
      </c>
      <c r="O298" s="61">
        <v>13.297890251203576</v>
      </c>
      <c r="P298" s="60"/>
      <c r="Q298" s="53" t="s">
        <v>185</v>
      </c>
      <c r="R298" s="9">
        <v>9.6933001099999991</v>
      </c>
      <c r="S298" s="53" t="s">
        <v>185</v>
      </c>
      <c r="T298" s="9">
        <v>12.116625137499998</v>
      </c>
      <c r="U298" s="16" t="s">
        <v>1505</v>
      </c>
      <c r="V298" s="9">
        <v>11.25</v>
      </c>
      <c r="W298" s="287" t="s">
        <v>1517</v>
      </c>
      <c r="X298" s="9">
        <v>86.352401079999993</v>
      </c>
      <c r="Y298" s="287" t="s">
        <v>1517</v>
      </c>
      <c r="Z298" s="9">
        <v>43.176200539999996</v>
      </c>
      <c r="AA298" s="16" t="s">
        <v>1505</v>
      </c>
      <c r="AB298" s="16" t="s">
        <v>229</v>
      </c>
      <c r="AC298" s="9">
        <v>19.330400231724138</v>
      </c>
      <c r="AD298" s="59" t="s">
        <v>185</v>
      </c>
      <c r="AE298" s="287" t="s">
        <v>229</v>
      </c>
      <c r="AF298" s="9">
        <v>18.18995790884615</v>
      </c>
      <c r="AG298" s="16" t="s">
        <v>1505</v>
      </c>
      <c r="AH298" s="16" t="s">
        <v>1517</v>
      </c>
      <c r="AI298" s="9">
        <v>16.32715191655172</v>
      </c>
      <c r="AJ298" s="53" t="s">
        <v>185</v>
      </c>
      <c r="AK298" s="287" t="s">
        <v>1517</v>
      </c>
      <c r="AL298" s="9">
        <v>16.098621983974358</v>
      </c>
      <c r="AM298" s="16" t="s">
        <v>1505</v>
      </c>
      <c r="AN298" s="16" t="s">
        <v>203</v>
      </c>
      <c r="AO298" s="9">
        <v>15.842559581629832</v>
      </c>
      <c r="AP298" s="60"/>
      <c r="AQ298" s="53" t="s">
        <v>185</v>
      </c>
      <c r="AR298" s="9">
        <v>8.1917300910000002</v>
      </c>
      <c r="AS298" s="53" t="s">
        <v>185</v>
      </c>
      <c r="AT298" s="9">
        <v>4.0958650455000001</v>
      </c>
      <c r="AU298" s="287" t="s">
        <v>1505</v>
      </c>
      <c r="AV298" s="9">
        <v>3.5</v>
      </c>
      <c r="AW298" s="16" t="s">
        <v>1517</v>
      </c>
      <c r="AX298" s="9">
        <v>111.958121404</v>
      </c>
      <c r="AY298" s="287" t="s">
        <v>229</v>
      </c>
      <c r="AZ298" s="9">
        <v>2.2139875832888891</v>
      </c>
      <c r="BA298" s="287" t="s">
        <v>1505</v>
      </c>
      <c r="BB298" s="287" t="s">
        <v>229</v>
      </c>
      <c r="BC298" s="9">
        <v>10.513416414907217</v>
      </c>
      <c r="BD298" s="287" t="s">
        <v>1505</v>
      </c>
      <c r="BE298" s="287" t="s">
        <v>1517</v>
      </c>
      <c r="BF298" s="9">
        <v>10.066201317247863</v>
      </c>
      <c r="BG298" s="59" t="s">
        <v>185</v>
      </c>
      <c r="BH298" s="16" t="s">
        <v>229</v>
      </c>
      <c r="BI298" s="9">
        <v>9.1239480035263174</v>
      </c>
      <c r="BJ298" s="53" t="s">
        <v>185</v>
      </c>
      <c r="BK298" s="287" t="s">
        <v>1517</v>
      </c>
      <c r="BL298" s="9">
        <v>8.7855283654347822</v>
      </c>
      <c r="BM298" s="16" t="s">
        <v>1505</v>
      </c>
      <c r="BN298" s="287" t="s">
        <v>203</v>
      </c>
      <c r="BO298" s="9">
        <v>8.2891699950103099</v>
      </c>
    </row>
    <row r="299" spans="1:67" x14ac:dyDescent="0.45">
      <c r="A299" s="10">
        <v>278</v>
      </c>
      <c r="B299" s="10" t="s">
        <v>958</v>
      </c>
      <c r="C299" s="287" t="s">
        <v>2135</v>
      </c>
      <c r="D299" s="290" t="s">
        <v>1992</v>
      </c>
      <c r="E299" s="56" t="s">
        <v>2025</v>
      </c>
      <c r="F299" s="58" t="s">
        <v>2270</v>
      </c>
      <c r="G299" s="80" t="s">
        <v>1892</v>
      </c>
      <c r="H299" s="10"/>
      <c r="I299" s="62">
        <v>95.626301210000008</v>
      </c>
      <c r="J299" s="62">
        <v>60.062800760000002</v>
      </c>
      <c r="K299" s="62">
        <v>106.69050135000001</v>
      </c>
      <c r="L299" s="49">
        <v>765.49617605516937</v>
      </c>
      <c r="M299" s="49">
        <v>721.44926549798754</v>
      </c>
      <c r="N299" s="49">
        <v>688.04368254490498</v>
      </c>
      <c r="O299" s="61">
        <v>6.0450478226151558</v>
      </c>
      <c r="P299" s="60"/>
      <c r="Q299" s="15" t="s">
        <v>291</v>
      </c>
      <c r="R299" s="9">
        <v>4.8250520483999999</v>
      </c>
      <c r="S299" s="73" t="s">
        <v>121</v>
      </c>
      <c r="T299" s="9">
        <v>7.7375780725999999</v>
      </c>
      <c r="U299" s="15" t="s">
        <v>291</v>
      </c>
      <c r="V299" s="9">
        <v>12.5</v>
      </c>
      <c r="W299" s="291" t="s">
        <v>189</v>
      </c>
      <c r="X299" s="9">
        <v>44.031835544500005</v>
      </c>
      <c r="Y299" s="291" t="s">
        <v>189</v>
      </c>
      <c r="Z299" s="9">
        <v>13.342980468030305</v>
      </c>
      <c r="AA299" s="73" t="s">
        <v>121</v>
      </c>
      <c r="AB299" s="74" t="s">
        <v>189</v>
      </c>
      <c r="AC299" s="9">
        <v>9.9662320370481918</v>
      </c>
      <c r="AD299" s="288" t="s">
        <v>121</v>
      </c>
      <c r="AE299" s="288" t="s">
        <v>238</v>
      </c>
      <c r="AF299" s="9">
        <v>9.7379191306341486</v>
      </c>
      <c r="AG299" s="73" t="s">
        <v>121</v>
      </c>
      <c r="AH299" s="16" t="s">
        <v>210</v>
      </c>
      <c r="AI299" s="9">
        <v>9.6251115322857146</v>
      </c>
      <c r="AJ299" s="15" t="s">
        <v>291</v>
      </c>
      <c r="AK299" s="291" t="s">
        <v>189</v>
      </c>
      <c r="AL299" s="9">
        <v>9.3365884639041106</v>
      </c>
      <c r="AM299" s="15" t="s">
        <v>291</v>
      </c>
      <c r="AN299" s="73" t="s">
        <v>238</v>
      </c>
      <c r="AO299" s="9">
        <v>9.0678203819722238</v>
      </c>
      <c r="AP299" s="60"/>
      <c r="AQ299" s="15" t="s">
        <v>291</v>
      </c>
      <c r="AR299" s="9">
        <v>4.1078547893250006</v>
      </c>
      <c r="AS299" s="73" t="s">
        <v>121</v>
      </c>
      <c r="AT299" s="9">
        <v>3.2376554483140003</v>
      </c>
      <c r="AU299" s="64" t="s">
        <v>291</v>
      </c>
      <c r="AV299" s="9">
        <v>3.5</v>
      </c>
      <c r="AW299" s="74" t="s">
        <v>189</v>
      </c>
      <c r="AX299" s="9">
        <v>56.941386207850009</v>
      </c>
      <c r="AY299" s="291" t="s">
        <v>189</v>
      </c>
      <c r="AZ299" s="9">
        <v>1.0352979310518184</v>
      </c>
      <c r="BA299" s="288" t="s">
        <v>121</v>
      </c>
      <c r="BB299" s="291" t="s">
        <v>189</v>
      </c>
      <c r="BC299" s="9">
        <v>6.0154346255313804</v>
      </c>
      <c r="BD299" s="288" t="s">
        <v>121</v>
      </c>
      <c r="BE299" s="288" t="s">
        <v>238</v>
      </c>
      <c r="BF299" s="9">
        <v>5.617384258425715</v>
      </c>
      <c r="BG299" s="288" t="s">
        <v>121</v>
      </c>
      <c r="BH299" s="16" t="s">
        <v>210</v>
      </c>
      <c r="BI299" s="9">
        <v>5.4367306302777596</v>
      </c>
      <c r="BJ299" s="15" t="s">
        <v>291</v>
      </c>
      <c r="BK299" s="291" t="s">
        <v>189</v>
      </c>
      <c r="BL299" s="9">
        <v>5.3377924518617528</v>
      </c>
      <c r="BM299" s="15" t="s">
        <v>291</v>
      </c>
      <c r="BN299" s="288" t="s">
        <v>238</v>
      </c>
      <c r="BO299" s="9">
        <v>4.8736615006623625</v>
      </c>
    </row>
    <row r="300" spans="1:67" x14ac:dyDescent="0.45">
      <c r="A300" s="10">
        <v>279</v>
      </c>
      <c r="B300" s="10" t="s">
        <v>956</v>
      </c>
      <c r="C300" s="287" t="s">
        <v>2135</v>
      </c>
      <c r="D300" s="290" t="s">
        <v>1992</v>
      </c>
      <c r="E300" s="56" t="s">
        <v>2025</v>
      </c>
      <c r="F300" s="58" t="s">
        <v>2270</v>
      </c>
      <c r="G300" s="80" t="s">
        <v>1892</v>
      </c>
      <c r="H300" s="10"/>
      <c r="I300" s="62">
        <v>150.15700190000001</v>
      </c>
      <c r="J300" s="62">
        <v>149.36670189</v>
      </c>
      <c r="K300" s="62">
        <v>134.35100170000001</v>
      </c>
      <c r="L300" s="49">
        <v>2127.1246411417533</v>
      </c>
      <c r="M300" s="49">
        <v>2086.2204226950066</v>
      </c>
      <c r="N300" s="49">
        <v>2054.0641162697198</v>
      </c>
      <c r="O300" s="61">
        <v>17.459672345255875</v>
      </c>
      <c r="P300" s="60"/>
      <c r="Q300" s="16" t="s">
        <v>1505</v>
      </c>
      <c r="R300" s="9">
        <v>8.2075360911999997</v>
      </c>
      <c r="S300" s="73" t="s">
        <v>121</v>
      </c>
      <c r="T300" s="9">
        <v>11.009420114000001</v>
      </c>
      <c r="U300" s="16" t="s">
        <v>1505</v>
      </c>
      <c r="V300" s="9">
        <v>11.25</v>
      </c>
      <c r="W300" s="288" t="s">
        <v>197</v>
      </c>
      <c r="X300" s="9">
        <v>118.12246148200001</v>
      </c>
      <c r="Y300" s="287" t="s">
        <v>1530</v>
      </c>
      <c r="Z300" s="9">
        <v>37.075415279259261</v>
      </c>
      <c r="AA300" s="73" t="s">
        <v>121</v>
      </c>
      <c r="AB300" s="73" t="s">
        <v>197</v>
      </c>
      <c r="AC300" s="9">
        <v>17.159147565563909</v>
      </c>
      <c r="AD300" s="287" t="s">
        <v>1505</v>
      </c>
      <c r="AE300" s="288" t="s">
        <v>197</v>
      </c>
      <c r="AF300" s="9">
        <v>16.791697253984495</v>
      </c>
      <c r="AG300" s="73" t="s">
        <v>121</v>
      </c>
      <c r="AH300" s="16" t="s">
        <v>1530</v>
      </c>
      <c r="AI300" s="9">
        <v>16.551009637322835</v>
      </c>
      <c r="AJ300" s="16" t="s">
        <v>1505</v>
      </c>
      <c r="AK300" s="287" t="s">
        <v>1530</v>
      </c>
      <c r="AL300" s="9">
        <v>16.145858077105689</v>
      </c>
      <c r="AM300" s="73" t="s">
        <v>121</v>
      </c>
      <c r="AN300" s="74" t="s">
        <v>132</v>
      </c>
      <c r="AO300" s="9">
        <v>15.931011631679391</v>
      </c>
      <c r="AP300" s="60"/>
      <c r="AQ300" s="16" t="s">
        <v>1505</v>
      </c>
      <c r="AR300" s="9">
        <v>6.856123074100001</v>
      </c>
      <c r="AS300" s="73" t="s">
        <v>121</v>
      </c>
      <c r="AT300" s="9">
        <v>4.5136738444600004</v>
      </c>
      <c r="AU300" s="287" t="s">
        <v>1505</v>
      </c>
      <c r="AV300" s="9">
        <v>3.5</v>
      </c>
      <c r="AW300" s="73" t="s">
        <v>197</v>
      </c>
      <c r="AX300" s="9">
        <v>153.25919992660002</v>
      </c>
      <c r="AY300" s="288" t="s">
        <v>197</v>
      </c>
      <c r="AZ300" s="9">
        <v>2.0434559990213335</v>
      </c>
      <c r="BA300" s="288" t="s">
        <v>121</v>
      </c>
      <c r="BB300" s="288" t="s">
        <v>197</v>
      </c>
      <c r="BC300" s="9">
        <v>10.234655616850002</v>
      </c>
      <c r="BD300" s="287" t="s">
        <v>1505</v>
      </c>
      <c r="BE300" s="288" t="s">
        <v>197</v>
      </c>
      <c r="BF300" s="9">
        <v>10.108430764609556</v>
      </c>
      <c r="BG300" s="288" t="s">
        <v>121</v>
      </c>
      <c r="BH300" s="16" t="s">
        <v>1530</v>
      </c>
      <c r="BI300" s="9">
        <v>10.042542982066177</v>
      </c>
      <c r="BJ300" s="16" t="s">
        <v>1505</v>
      </c>
      <c r="BK300" s="287" t="s">
        <v>1530</v>
      </c>
      <c r="BL300" s="9">
        <v>9.8867952790357663</v>
      </c>
      <c r="BM300" s="73" t="s">
        <v>121</v>
      </c>
      <c r="BN300" s="291" t="s">
        <v>132</v>
      </c>
      <c r="BO300" s="9">
        <v>9.2586351045000015</v>
      </c>
    </row>
    <row r="301" spans="1:67" x14ac:dyDescent="0.45">
      <c r="A301" s="10">
        <v>280</v>
      </c>
      <c r="B301" s="10" t="s">
        <v>953</v>
      </c>
      <c r="C301" s="242" t="s">
        <v>2133</v>
      </c>
      <c r="D301" s="65"/>
      <c r="E301" s="63" t="s">
        <v>2267</v>
      </c>
      <c r="F301" s="242" t="s">
        <v>1925</v>
      </c>
      <c r="G301" s="58" t="s">
        <v>2268</v>
      </c>
      <c r="H301" s="10"/>
      <c r="I301" s="62">
        <v>74.28820094000001</v>
      </c>
      <c r="J301" s="62">
        <v>58.482200740000003</v>
      </c>
      <c r="K301" s="62">
        <v>90.09420114000001</v>
      </c>
      <c r="L301" s="49">
        <v>539.23753407020899</v>
      </c>
      <c r="M301" s="49">
        <v>535.0901107471675</v>
      </c>
      <c r="N301" s="49">
        <v>531.79515114862465</v>
      </c>
      <c r="O301" s="61">
        <v>4.9777947639514863</v>
      </c>
      <c r="P301" s="60"/>
      <c r="Q301" s="57" t="s">
        <v>101</v>
      </c>
      <c r="R301" s="9">
        <v>9.9145841128000001</v>
      </c>
      <c r="S301" s="57" t="s">
        <v>101</v>
      </c>
      <c r="T301" s="9">
        <v>6.1966150705</v>
      </c>
      <c r="U301" s="51" t="s">
        <v>74</v>
      </c>
      <c r="V301" s="9">
        <v>13.635999999999999</v>
      </c>
      <c r="W301" s="65" t="s">
        <v>1532</v>
      </c>
      <c r="X301" s="9">
        <v>32.2010443948</v>
      </c>
      <c r="Y301" s="64" t="s">
        <v>52</v>
      </c>
      <c r="Z301" s="9">
        <v>20.000621663571433</v>
      </c>
      <c r="AA301" s="57" t="s">
        <v>101</v>
      </c>
      <c r="AB301" s="15" t="s">
        <v>52</v>
      </c>
      <c r="AC301" s="9">
        <v>8.4672480087859014</v>
      </c>
      <c r="AD301" s="242" t="s">
        <v>101</v>
      </c>
      <c r="AE301" s="242" t="s">
        <v>58</v>
      </c>
      <c r="AF301" s="9">
        <v>8.3133795302912965</v>
      </c>
      <c r="AG301" s="51" t="s">
        <v>74</v>
      </c>
      <c r="AH301" s="57" t="s">
        <v>58</v>
      </c>
      <c r="AI301" s="9">
        <v>7.5417310162289422</v>
      </c>
      <c r="AJ301" s="57" t="s">
        <v>101</v>
      </c>
      <c r="AK301" s="65" t="s">
        <v>1532</v>
      </c>
      <c r="AL301" s="9">
        <v>7.2742337080357675</v>
      </c>
      <c r="AM301" s="51" t="s">
        <v>74</v>
      </c>
      <c r="AN301" s="15" t="s">
        <v>52</v>
      </c>
      <c r="AO301" s="9">
        <v>7.259168806802121</v>
      </c>
      <c r="AP301" s="60"/>
      <c r="AQ301" s="57" t="s">
        <v>101</v>
      </c>
      <c r="AR301" s="9">
        <v>10.271167477312002</v>
      </c>
      <c r="AS301" s="57" t="s">
        <v>101</v>
      </c>
      <c r="AT301" s="9">
        <v>2.5677918693280004</v>
      </c>
      <c r="AU301" s="290" t="s">
        <v>74</v>
      </c>
      <c r="AV301" s="9">
        <v>3.6666666666666998</v>
      </c>
      <c r="AW301" s="15" t="s">
        <v>52</v>
      </c>
      <c r="AX301" s="9">
        <v>63.773529794300011</v>
      </c>
      <c r="AY301" s="242" t="s">
        <v>2490</v>
      </c>
      <c r="AZ301" s="9">
        <v>0.92358572696088903</v>
      </c>
      <c r="BA301" s="242" t="s">
        <v>101</v>
      </c>
      <c r="BB301" s="64" t="s">
        <v>52</v>
      </c>
      <c r="BC301" s="9">
        <v>5.0830961676145217</v>
      </c>
      <c r="BD301" s="242" t="s">
        <v>101</v>
      </c>
      <c r="BE301" s="242" t="s">
        <v>58</v>
      </c>
      <c r="BF301" s="9">
        <v>5.004889734572501</v>
      </c>
      <c r="BG301" s="242" t="s">
        <v>101</v>
      </c>
      <c r="BH301" s="14" t="s">
        <v>1532</v>
      </c>
      <c r="BI301" s="9">
        <v>5.004889734572501</v>
      </c>
      <c r="BJ301" s="51" t="s">
        <v>74</v>
      </c>
      <c r="BK301" s="64" t="s">
        <v>52</v>
      </c>
      <c r="BL301" s="9">
        <v>4.2557216510217204</v>
      </c>
      <c r="BM301" s="51" t="s">
        <v>74</v>
      </c>
      <c r="BN301" s="242" t="s">
        <v>58</v>
      </c>
      <c r="BO301" s="9">
        <v>4.1837084158930828</v>
      </c>
    </row>
    <row r="302" spans="1:67" x14ac:dyDescent="0.45">
      <c r="A302" s="10">
        <v>281</v>
      </c>
      <c r="B302" s="10" t="s">
        <v>952</v>
      </c>
      <c r="C302" s="242" t="s">
        <v>2133</v>
      </c>
      <c r="D302" s="65"/>
      <c r="E302" s="63" t="s">
        <v>2267</v>
      </c>
      <c r="F302" s="242" t="s">
        <v>1925</v>
      </c>
      <c r="G302" s="58" t="s">
        <v>2268</v>
      </c>
      <c r="H302" s="10"/>
      <c r="I302" s="62">
        <v>104.31960132</v>
      </c>
      <c r="J302" s="62">
        <v>82.981501050000006</v>
      </c>
      <c r="K302" s="62">
        <v>103.52930131000001</v>
      </c>
      <c r="L302" s="49">
        <v>966.91479034401982</v>
      </c>
      <c r="M302" s="49">
        <v>929.55193407721185</v>
      </c>
      <c r="N302" s="49">
        <v>900.70385833881448</v>
      </c>
      <c r="O302" s="61">
        <v>7.9327456812809354</v>
      </c>
      <c r="P302" s="60"/>
      <c r="Q302" s="57" t="s">
        <v>101</v>
      </c>
      <c r="R302" s="9">
        <v>13.518352158400001</v>
      </c>
      <c r="S302" s="57" t="s">
        <v>101</v>
      </c>
      <c r="T302" s="9">
        <v>8.4489700990000003</v>
      </c>
      <c r="U302" s="51" t="s">
        <v>74</v>
      </c>
      <c r="V302" s="9">
        <v>13.635999999999999</v>
      </c>
      <c r="W302" s="242" t="s">
        <v>82</v>
      </c>
      <c r="X302" s="9">
        <v>57.332584712799999</v>
      </c>
      <c r="Y302" s="64" t="s">
        <v>52</v>
      </c>
      <c r="Z302" s="9">
        <v>27.508471758571432</v>
      </c>
      <c r="AA302" s="57" t="s">
        <v>101</v>
      </c>
      <c r="AB302" s="57" t="s">
        <v>82</v>
      </c>
      <c r="AC302" s="9">
        <v>12.589396546000001</v>
      </c>
      <c r="AD302" s="242" t="s">
        <v>101</v>
      </c>
      <c r="AE302" s="64" t="s">
        <v>52</v>
      </c>
      <c r="AF302" s="9">
        <v>11.584083949007834</v>
      </c>
      <c r="AG302" s="51" t="s">
        <v>74</v>
      </c>
      <c r="AH302" s="57" t="s">
        <v>82</v>
      </c>
      <c r="AI302" s="9">
        <v>11.532247147752578</v>
      </c>
      <c r="AJ302" s="57" t="s">
        <v>101</v>
      </c>
      <c r="AK302" s="65" t="s">
        <v>1532</v>
      </c>
      <c r="AL302" s="9">
        <v>10.040165963600597</v>
      </c>
      <c r="AM302" s="51" t="s">
        <v>74</v>
      </c>
      <c r="AN302" s="15" t="s">
        <v>52</v>
      </c>
      <c r="AO302" s="9">
        <v>9.7794718422261475</v>
      </c>
      <c r="AP302" s="60"/>
      <c r="AQ302" s="57" t="s">
        <v>101</v>
      </c>
      <c r="AR302" s="9">
        <v>14.019086244736</v>
      </c>
      <c r="AS302" s="57" t="s">
        <v>101</v>
      </c>
      <c r="AT302" s="9">
        <v>3.504771561184</v>
      </c>
      <c r="AU302" s="290" t="s">
        <v>74</v>
      </c>
      <c r="AV302" s="9">
        <v>3.6666666666666998</v>
      </c>
      <c r="AW302" s="15" t="s">
        <v>52</v>
      </c>
      <c r="AX302" s="9">
        <v>89.150063115400002</v>
      </c>
      <c r="AY302" s="242" t="s">
        <v>82</v>
      </c>
      <c r="AZ302" s="9">
        <v>1.3496792750298183</v>
      </c>
      <c r="BA302" s="242" t="s">
        <v>101</v>
      </c>
      <c r="BB302" s="242" t="s">
        <v>82</v>
      </c>
      <c r="BC302" s="9">
        <v>7.1630951076731044</v>
      </c>
      <c r="BD302" s="242" t="s">
        <v>101</v>
      </c>
      <c r="BE302" s="64" t="s">
        <v>52</v>
      </c>
      <c r="BF302" s="9">
        <v>7.0244410771106853</v>
      </c>
      <c r="BG302" s="242" t="s">
        <v>101</v>
      </c>
      <c r="BH302" s="14" t="s">
        <v>1532</v>
      </c>
      <c r="BI302" s="9">
        <v>6.9081297336550005</v>
      </c>
      <c r="BJ302" s="51" t="s">
        <v>74</v>
      </c>
      <c r="BK302" s="242" t="s">
        <v>82</v>
      </c>
      <c r="BL302" s="9">
        <v>6.01151845882125</v>
      </c>
      <c r="BM302" s="51" t="s">
        <v>74</v>
      </c>
      <c r="BN302" s="64" t="s">
        <v>52</v>
      </c>
      <c r="BO302" s="9">
        <v>5.8279537885628967</v>
      </c>
    </row>
    <row r="303" spans="1:67" x14ac:dyDescent="0.45">
      <c r="A303" s="10">
        <v>282</v>
      </c>
      <c r="B303" s="10" t="s">
        <v>304</v>
      </c>
      <c r="C303" s="242" t="s">
        <v>2133</v>
      </c>
      <c r="D303" s="65"/>
      <c r="E303" s="63" t="s">
        <v>2267</v>
      </c>
      <c r="F303" s="242" t="s">
        <v>1925</v>
      </c>
      <c r="G303" s="58" t="s">
        <v>2268</v>
      </c>
      <c r="H303" s="10"/>
      <c r="I303" s="62">
        <v>199.15560252</v>
      </c>
      <c r="J303" s="62">
        <v>165.96300210000001</v>
      </c>
      <c r="K303" s="62">
        <v>145.41520184000001</v>
      </c>
      <c r="L303" s="49">
        <v>3093.8772180117003</v>
      </c>
      <c r="M303" s="49">
        <v>2848.0159283306916</v>
      </c>
      <c r="N303" s="49">
        <v>2665.4705308568409</v>
      </c>
      <c r="O303" s="61">
        <v>20.698378426139811</v>
      </c>
      <c r="P303" s="60"/>
      <c r="Q303" s="14" t="s">
        <v>2418</v>
      </c>
      <c r="R303" s="9">
        <v>24.898672302399998</v>
      </c>
      <c r="S303" s="14" t="s">
        <v>161</v>
      </c>
      <c r="T303" s="9">
        <v>16.599114868266664</v>
      </c>
      <c r="U303" s="51" t="s">
        <v>74</v>
      </c>
      <c r="V303" s="9">
        <v>13.635999999999999</v>
      </c>
      <c r="W303" s="65" t="s">
        <v>63</v>
      </c>
      <c r="X303" s="9">
        <v>120.49336151199999</v>
      </c>
      <c r="Y303" s="64" t="s">
        <v>52</v>
      </c>
      <c r="Z303" s="9">
        <v>51.217472058571438</v>
      </c>
      <c r="AA303" s="57" t="s">
        <v>101</v>
      </c>
      <c r="AB303" s="57" t="s">
        <v>82</v>
      </c>
      <c r="AC303" s="9">
        <v>23.54995078304918</v>
      </c>
      <c r="AD303" s="65" t="s">
        <v>161</v>
      </c>
      <c r="AE303" s="242" t="s">
        <v>82</v>
      </c>
      <c r="AF303" s="9">
        <v>23.052154008400752</v>
      </c>
      <c r="AG303" s="57" t="s">
        <v>101</v>
      </c>
      <c r="AH303" s="14" t="s">
        <v>63</v>
      </c>
      <c r="AI303" s="9">
        <v>23.036483304150941</v>
      </c>
      <c r="AJ303" s="14" t="s">
        <v>161</v>
      </c>
      <c r="AK303" s="65" t="s">
        <v>63</v>
      </c>
      <c r="AL303" s="9">
        <v>22.646348826008811</v>
      </c>
      <c r="AM303" s="57" t="s">
        <v>101</v>
      </c>
      <c r="AN303" s="57" t="s">
        <v>1540</v>
      </c>
      <c r="AO303" s="9">
        <v>22.637428178689074</v>
      </c>
      <c r="AP303" s="60"/>
      <c r="AQ303" s="14" t="s">
        <v>2418</v>
      </c>
      <c r="AR303" s="9">
        <v>25.854619194496003</v>
      </c>
      <c r="AS303" s="14" t="s">
        <v>161</v>
      </c>
      <c r="AT303" s="9">
        <v>8.6182063981653343</v>
      </c>
      <c r="AU303" s="290" t="s">
        <v>74</v>
      </c>
      <c r="AV303" s="9">
        <v>3.6666666666666998</v>
      </c>
      <c r="AW303" s="14" t="s">
        <v>63</v>
      </c>
      <c r="AX303" s="9">
        <v>171.87550696216002</v>
      </c>
      <c r="AY303" s="242" t="s">
        <v>82</v>
      </c>
      <c r="AZ303" s="9">
        <v>2.5601315085279999</v>
      </c>
      <c r="BA303" s="242" t="s">
        <v>101</v>
      </c>
      <c r="BB303" s="242" t="s">
        <v>82</v>
      </c>
      <c r="BC303" s="9">
        <v>13.412460566059313</v>
      </c>
      <c r="BD303" s="242" t="s">
        <v>101</v>
      </c>
      <c r="BE303" s="65" t="s">
        <v>63</v>
      </c>
      <c r="BF303" s="9">
        <v>13.261402147810413</v>
      </c>
      <c r="BG303" s="65" t="s">
        <v>161</v>
      </c>
      <c r="BH303" s="57" t="s">
        <v>82</v>
      </c>
      <c r="BI303" s="9">
        <v>13.256417856792515</v>
      </c>
      <c r="BJ303" s="57" t="s">
        <v>101</v>
      </c>
      <c r="BK303" s="242" t="s">
        <v>1540</v>
      </c>
      <c r="BL303" s="9">
        <v>13.188717506578113</v>
      </c>
      <c r="BM303" s="57" t="s">
        <v>101</v>
      </c>
      <c r="BN303" s="64" t="s">
        <v>52</v>
      </c>
      <c r="BO303" s="9">
        <v>13.155003949203838</v>
      </c>
    </row>
    <row r="304" spans="1:67" x14ac:dyDescent="0.45">
      <c r="A304" s="10">
        <v>283</v>
      </c>
      <c r="B304" s="10" t="s">
        <v>950</v>
      </c>
      <c r="C304" s="289" t="s">
        <v>2163</v>
      </c>
      <c r="D304" s="65"/>
      <c r="E304" s="287" t="s">
        <v>2321</v>
      </c>
      <c r="F304" s="58" t="s">
        <v>2322</v>
      </c>
      <c r="G304" s="242"/>
      <c r="H304" s="10"/>
      <c r="I304" s="62">
        <v>85.352401080000007</v>
      </c>
      <c r="J304" s="62">
        <v>80.610601020000004</v>
      </c>
      <c r="K304" s="62">
        <v>106.69050135000001</v>
      </c>
      <c r="L304" s="49">
        <v>791.54334248788655</v>
      </c>
      <c r="M304" s="49">
        <v>813.74644702244973</v>
      </c>
      <c r="N304" s="49">
        <v>831.95651929948508</v>
      </c>
      <c r="O304" s="61">
        <v>7.9588201604080373</v>
      </c>
      <c r="P304" s="60"/>
      <c r="Q304" s="73" t="s">
        <v>214</v>
      </c>
      <c r="R304" s="9">
        <v>7.1453728777599999</v>
      </c>
      <c r="S304" s="69" t="s">
        <v>38</v>
      </c>
      <c r="T304" s="9">
        <v>7.1211440648000002</v>
      </c>
      <c r="U304" s="69" t="s">
        <v>38</v>
      </c>
      <c r="V304" s="9">
        <v>12</v>
      </c>
      <c r="W304" s="289" t="s">
        <v>1534</v>
      </c>
      <c r="X304" s="9">
        <v>39.408580486000005</v>
      </c>
      <c r="Y304" s="289" t="s">
        <v>1534</v>
      </c>
      <c r="Z304" s="9">
        <v>13.589165684827588</v>
      </c>
      <c r="AA304" s="69" t="s">
        <v>38</v>
      </c>
      <c r="AB304" s="69" t="s">
        <v>1534</v>
      </c>
      <c r="AC304" s="9">
        <v>9.7754736918867948</v>
      </c>
      <c r="AD304" s="289" t="s">
        <v>38</v>
      </c>
      <c r="AE304" s="288" t="s">
        <v>1524</v>
      </c>
      <c r="AF304" s="9">
        <v>9.3690008609121147</v>
      </c>
      <c r="AG304" s="73" t="s">
        <v>214</v>
      </c>
      <c r="AH304" s="69" t="s">
        <v>1534</v>
      </c>
      <c r="AI304" s="9">
        <v>9.0356736649304192</v>
      </c>
      <c r="AJ304" s="73" t="s">
        <v>214</v>
      </c>
      <c r="AK304" s="288" t="s">
        <v>1524</v>
      </c>
      <c r="AL304" s="9">
        <v>8.6307983784944948</v>
      </c>
      <c r="AM304" s="69" t="s">
        <v>38</v>
      </c>
      <c r="AN304" s="73" t="s">
        <v>1519</v>
      </c>
      <c r="AO304" s="9">
        <v>8.1494821538099167</v>
      </c>
      <c r="AP304" s="60"/>
      <c r="AQ304" s="73" t="s">
        <v>214</v>
      </c>
      <c r="AR304" s="9">
        <v>6.325989827392001</v>
      </c>
      <c r="AS304" s="69" t="s">
        <v>38</v>
      </c>
      <c r="AT304" s="9">
        <v>2.997246185272</v>
      </c>
      <c r="AU304" s="288" t="s">
        <v>214</v>
      </c>
      <c r="AV304" s="9">
        <v>3.6666666666666998</v>
      </c>
      <c r="AW304" s="69" t="s">
        <v>1534</v>
      </c>
      <c r="AX304" s="9">
        <v>50.931154631800005</v>
      </c>
      <c r="AY304" s="289" t="s">
        <v>1534</v>
      </c>
      <c r="AZ304" s="9">
        <v>0.92602099330545462</v>
      </c>
      <c r="BA304" s="289" t="s">
        <v>38</v>
      </c>
      <c r="BB304" s="289" t="s">
        <v>1534</v>
      </c>
      <c r="BC304" s="9">
        <v>5.4765862773337943</v>
      </c>
      <c r="BD304" s="288" t="s">
        <v>214</v>
      </c>
      <c r="BE304" s="289" t="s">
        <v>1534</v>
      </c>
      <c r="BF304" s="9">
        <v>5.1600689855475004</v>
      </c>
      <c r="BG304" s="289" t="s">
        <v>38</v>
      </c>
      <c r="BH304" s="73" t="s">
        <v>1519</v>
      </c>
      <c r="BI304" s="9">
        <v>4.7448365973850004</v>
      </c>
      <c r="BJ304" s="73" t="s">
        <v>214</v>
      </c>
      <c r="BK304" s="288" t="s">
        <v>1519</v>
      </c>
      <c r="BL304" s="9">
        <v>4.282295635633699</v>
      </c>
      <c r="BM304" s="69" t="s">
        <v>38</v>
      </c>
      <c r="BN304" s="288" t="s">
        <v>1524</v>
      </c>
      <c r="BO304" s="9">
        <v>4.0190930707600003</v>
      </c>
    </row>
    <row r="305" spans="1:67" x14ac:dyDescent="0.45">
      <c r="A305" s="10">
        <v>284</v>
      </c>
      <c r="B305" s="10" t="s">
        <v>211</v>
      </c>
      <c r="C305" s="287" t="s">
        <v>2108</v>
      </c>
      <c r="D305" s="56" t="s">
        <v>2025</v>
      </c>
      <c r="E305" s="287" t="s">
        <v>2205</v>
      </c>
      <c r="F305" s="289" t="s">
        <v>1887</v>
      </c>
      <c r="G305" s="58" t="s">
        <v>2164</v>
      </c>
      <c r="H305" s="80" t="s">
        <v>1892</v>
      </c>
      <c r="I305" s="62">
        <v>163.59210207000001</v>
      </c>
      <c r="J305" s="62">
        <v>130.39950165000002</v>
      </c>
      <c r="K305" s="62">
        <v>147.78610187000001</v>
      </c>
      <c r="L305" s="49">
        <v>2270.9997985799755</v>
      </c>
      <c r="M305" s="49">
        <v>2150.0467622826191</v>
      </c>
      <c r="N305" s="49">
        <v>2057.9392657901608</v>
      </c>
      <c r="O305" s="61">
        <v>17.048162182055698</v>
      </c>
      <c r="P305" s="60"/>
      <c r="Q305" s="16" t="s">
        <v>158</v>
      </c>
      <c r="R305" s="9">
        <v>14.741736573880001</v>
      </c>
      <c r="S305" s="16" t="s">
        <v>158</v>
      </c>
      <c r="T305" s="9">
        <v>12.284780478233335</v>
      </c>
      <c r="U305" s="69" t="s">
        <v>10</v>
      </c>
      <c r="V305" s="9">
        <v>12.727</v>
      </c>
      <c r="W305" s="289" t="s">
        <v>1509</v>
      </c>
      <c r="X305" s="9">
        <v>69.708682869400008</v>
      </c>
      <c r="Y305" s="287" t="s">
        <v>210</v>
      </c>
      <c r="Z305" s="9">
        <v>22.182650646370369</v>
      </c>
      <c r="AA305" s="16" t="s">
        <v>158</v>
      </c>
      <c r="AB305" s="69" t="s">
        <v>1509</v>
      </c>
      <c r="AC305" s="9">
        <v>15.434779841861472</v>
      </c>
      <c r="AD305" s="287" t="s">
        <v>158</v>
      </c>
      <c r="AE305" s="287" t="s">
        <v>210</v>
      </c>
      <c r="AF305" s="9">
        <v>15.356533289034486</v>
      </c>
      <c r="AG305" s="69" t="s">
        <v>10</v>
      </c>
      <c r="AH305" s="69" t="s">
        <v>1509</v>
      </c>
      <c r="AI305" s="9">
        <v>15.106696657629239</v>
      </c>
      <c r="AJ305" s="69" t="s">
        <v>10</v>
      </c>
      <c r="AK305" s="287" t="s">
        <v>210</v>
      </c>
      <c r="AL305" s="9">
        <v>14.862936429340516</v>
      </c>
      <c r="AM305" s="16" t="s">
        <v>158</v>
      </c>
      <c r="AN305" s="68" t="s">
        <v>1486</v>
      </c>
      <c r="AO305" s="9">
        <v>14.450340861973546</v>
      </c>
      <c r="AP305" s="60"/>
      <c r="AQ305" s="16" t="s">
        <v>158</v>
      </c>
      <c r="AR305" s="9">
        <v>12.484165565314001</v>
      </c>
      <c r="AS305" s="16" t="s">
        <v>158</v>
      </c>
      <c r="AT305" s="9">
        <v>4.1613885217713333</v>
      </c>
      <c r="AU305" s="289" t="s">
        <v>10</v>
      </c>
      <c r="AV305" s="9">
        <v>3.6666666666666998</v>
      </c>
      <c r="AW305" s="69" t="s">
        <v>1509</v>
      </c>
      <c r="AX305" s="9">
        <v>90.321287730220007</v>
      </c>
      <c r="AY305" s="289" t="s">
        <v>1509</v>
      </c>
      <c r="AZ305" s="9">
        <v>2.0071397273382225</v>
      </c>
      <c r="BA305" s="287" t="s">
        <v>158</v>
      </c>
      <c r="BB305" s="289" t="s">
        <v>1509</v>
      </c>
      <c r="BC305" s="9">
        <v>9.5463822222993748</v>
      </c>
      <c r="BD305" s="289" t="s">
        <v>10</v>
      </c>
      <c r="BE305" s="289" t="s">
        <v>1509</v>
      </c>
      <c r="BF305" s="9">
        <v>9.4730077533687673</v>
      </c>
      <c r="BG305" s="287" t="s">
        <v>158</v>
      </c>
      <c r="BH305" s="16" t="s">
        <v>210</v>
      </c>
      <c r="BI305" s="9">
        <v>7.9579255173052301</v>
      </c>
      <c r="BJ305" s="16" t="s">
        <v>158</v>
      </c>
      <c r="BK305" s="77" t="s">
        <v>1486</v>
      </c>
      <c r="BL305" s="9">
        <v>7.6501823346303102</v>
      </c>
      <c r="BM305" s="69" t="s">
        <v>10</v>
      </c>
      <c r="BN305" s="287" t="s">
        <v>210</v>
      </c>
      <c r="BO305" s="9">
        <v>7.5526034783212506</v>
      </c>
    </row>
    <row r="306" spans="1:67" x14ac:dyDescent="0.45">
      <c r="A306" s="10">
        <v>285</v>
      </c>
      <c r="B306" s="10" t="s">
        <v>945</v>
      </c>
      <c r="C306" s="79" t="s">
        <v>1983</v>
      </c>
      <c r="D306" s="65"/>
      <c r="E306" s="63" t="s">
        <v>2265</v>
      </c>
      <c r="F306" s="80" t="s">
        <v>2266</v>
      </c>
      <c r="G306" s="242"/>
      <c r="H306" s="10"/>
      <c r="I306" s="62">
        <v>70.336700890000003</v>
      </c>
      <c r="J306" s="62">
        <v>98.787501250000005</v>
      </c>
      <c r="K306" s="62">
        <v>134.35100170000001</v>
      </c>
      <c r="L306" s="49">
        <v>810.31419837287945</v>
      </c>
      <c r="M306" s="49">
        <v>955.17570784256782</v>
      </c>
      <c r="N306" s="49">
        <v>1089.4997251852269</v>
      </c>
      <c r="O306" s="61">
        <v>12.078950418783263</v>
      </c>
      <c r="P306" s="60"/>
      <c r="Q306" s="72" t="s">
        <v>225</v>
      </c>
      <c r="R306" s="9">
        <v>4.3761616427199996</v>
      </c>
      <c r="S306" s="15" t="s">
        <v>127</v>
      </c>
      <c r="T306" s="9">
        <v>5.5168350445000005</v>
      </c>
      <c r="U306" s="72" t="s">
        <v>225</v>
      </c>
      <c r="V306" s="9">
        <v>12.727</v>
      </c>
      <c r="W306" s="79" t="s">
        <v>2398</v>
      </c>
      <c r="X306" s="9">
        <v>38.981818480599998</v>
      </c>
      <c r="Y306" s="79" t="s">
        <v>23</v>
      </c>
      <c r="Z306" s="9">
        <v>14.993007107923075</v>
      </c>
      <c r="AA306" s="15" t="s">
        <v>127</v>
      </c>
      <c r="AB306" s="72" t="s">
        <v>23</v>
      </c>
      <c r="AC306" s="9">
        <v>8.7586833819868435</v>
      </c>
      <c r="AD306" s="79" t="s">
        <v>225</v>
      </c>
      <c r="AE306" s="79" t="s">
        <v>23</v>
      </c>
      <c r="AF306" s="9">
        <v>8.3649183902013107</v>
      </c>
      <c r="AG306" s="15" t="s">
        <v>127</v>
      </c>
      <c r="AH306" s="72" t="s">
        <v>264</v>
      </c>
      <c r="AI306" s="9">
        <v>7.8405941304355835</v>
      </c>
      <c r="AJ306" s="15" t="s">
        <v>127</v>
      </c>
      <c r="AK306" s="79" t="s">
        <v>33</v>
      </c>
      <c r="AL306" s="9">
        <v>7.479325135179776</v>
      </c>
      <c r="AM306" s="72" t="s">
        <v>225</v>
      </c>
      <c r="AN306" s="72" t="s">
        <v>264</v>
      </c>
      <c r="AO306" s="9">
        <v>7.3384603360615532</v>
      </c>
      <c r="AP306" s="60"/>
      <c r="AQ306" s="72" t="s">
        <v>225</v>
      </c>
      <c r="AR306" s="9">
        <v>3.7431313347100001</v>
      </c>
      <c r="AS306" s="15" t="s">
        <v>127</v>
      </c>
      <c r="AT306" s="9">
        <v>2.3715656673550001</v>
      </c>
      <c r="AU306" s="79" t="s">
        <v>225</v>
      </c>
      <c r="AV306" s="9">
        <v>3.6666666666666998</v>
      </c>
      <c r="AW306" s="72" t="s">
        <v>2397</v>
      </c>
      <c r="AX306" s="9">
        <v>50.376364024780003</v>
      </c>
      <c r="AY306" s="79" t="s">
        <v>23</v>
      </c>
      <c r="AZ306" s="9">
        <v>1.0075272804956001</v>
      </c>
      <c r="BA306" s="79" t="s">
        <v>225</v>
      </c>
      <c r="BB306" s="79" t="s">
        <v>23</v>
      </c>
      <c r="BC306" s="9">
        <v>4.604326528000497</v>
      </c>
      <c r="BD306" s="64" t="s">
        <v>127</v>
      </c>
      <c r="BE306" s="79" t="s">
        <v>23</v>
      </c>
      <c r="BF306" s="9">
        <v>4.2179040657174998</v>
      </c>
      <c r="BG306" s="79" t="s">
        <v>225</v>
      </c>
      <c r="BH306" s="72" t="s">
        <v>33</v>
      </c>
      <c r="BI306" s="9">
        <v>4.077109342173717</v>
      </c>
      <c r="BJ306" s="15" t="s">
        <v>127</v>
      </c>
      <c r="BK306" s="79" t="s">
        <v>33</v>
      </c>
      <c r="BL306" s="9">
        <v>3.9201075498525806</v>
      </c>
      <c r="BM306" s="72" t="s">
        <v>225</v>
      </c>
      <c r="BN306" s="79" t="s">
        <v>264</v>
      </c>
      <c r="BO306" s="9">
        <v>3.7606423273916798</v>
      </c>
    </row>
    <row r="307" spans="1:67" x14ac:dyDescent="0.45">
      <c r="A307" s="10">
        <v>286</v>
      </c>
      <c r="B307" s="10" t="s">
        <v>265</v>
      </c>
      <c r="C307" s="58" t="s">
        <v>2164</v>
      </c>
      <c r="D307" s="287" t="s">
        <v>1890</v>
      </c>
      <c r="E307" s="63" t="s">
        <v>2323</v>
      </c>
      <c r="F307" s="80" t="s">
        <v>2324</v>
      </c>
      <c r="G307" s="242"/>
      <c r="H307" s="10"/>
      <c r="I307" s="62">
        <v>202.31680256000001</v>
      </c>
      <c r="J307" s="62">
        <v>125.65770159</v>
      </c>
      <c r="K307" s="62">
        <v>134.35100170000001</v>
      </c>
      <c r="L307" s="49">
        <v>2628.7359411363473</v>
      </c>
      <c r="M307" s="49">
        <v>2267.9909410729542</v>
      </c>
      <c r="N307" s="49">
        <v>2015.3793183379598</v>
      </c>
      <c r="O307" s="61">
        <v>14.997665858892891</v>
      </c>
      <c r="P307" s="60"/>
      <c r="Q307" s="55" t="s">
        <v>45</v>
      </c>
      <c r="R307" s="9">
        <v>15.56680978432</v>
      </c>
      <c r="S307" s="55" t="s">
        <v>45</v>
      </c>
      <c r="T307" s="9">
        <v>17.296455315911111</v>
      </c>
      <c r="U307" s="72" t="s">
        <v>225</v>
      </c>
      <c r="V307" s="9">
        <v>12.727</v>
      </c>
      <c r="W307" s="58" t="s">
        <v>3463</v>
      </c>
      <c r="X307" s="9">
        <v>110.25107338240001</v>
      </c>
      <c r="Y307" s="79" t="s">
        <v>23</v>
      </c>
      <c r="Z307" s="9">
        <v>42.404258993230769</v>
      </c>
      <c r="AA307" s="55" t="s">
        <v>45</v>
      </c>
      <c r="AB307" s="72" t="s">
        <v>23</v>
      </c>
      <c r="AC307" s="9">
        <v>25.233268636401217</v>
      </c>
      <c r="AD307" s="58" t="s">
        <v>45</v>
      </c>
      <c r="AE307" s="58" t="s">
        <v>267</v>
      </c>
      <c r="AF307" s="9">
        <v>24.930166310438437</v>
      </c>
      <c r="AG307" s="72" t="s">
        <v>225</v>
      </c>
      <c r="AH307" s="72" t="s">
        <v>23</v>
      </c>
      <c r="AI307" s="9">
        <v>22.746995114853391</v>
      </c>
      <c r="AJ307" s="55" t="s">
        <v>45</v>
      </c>
      <c r="AK307" s="79" t="s">
        <v>264</v>
      </c>
      <c r="AL307" s="9">
        <v>22.67115423580627</v>
      </c>
      <c r="AM307" s="55" t="s">
        <v>45</v>
      </c>
      <c r="AN307" s="54" t="s">
        <v>124</v>
      </c>
      <c r="AO307" s="9">
        <v>22.614420463848582</v>
      </c>
      <c r="AP307" s="60"/>
      <c r="AQ307" s="55" t="s">
        <v>45</v>
      </c>
      <c r="AR307" s="9">
        <v>13.624568479744001</v>
      </c>
      <c r="AS307" s="55" t="s">
        <v>45</v>
      </c>
      <c r="AT307" s="9">
        <v>6.8122842398720005</v>
      </c>
      <c r="AU307" s="79" t="s">
        <v>225</v>
      </c>
      <c r="AV307" s="9">
        <v>3.6666666666666998</v>
      </c>
      <c r="AW307" s="55" t="s">
        <v>3478</v>
      </c>
      <c r="AX307" s="9">
        <v>143.02639539712001</v>
      </c>
      <c r="AY307" s="58" t="s">
        <v>3466</v>
      </c>
      <c r="AZ307" s="9">
        <v>2.8605279079424002</v>
      </c>
      <c r="BA307" s="58" t="s">
        <v>45</v>
      </c>
      <c r="BB307" s="58" t="s">
        <v>267</v>
      </c>
      <c r="BC307" s="9">
        <v>15.723487773523738</v>
      </c>
      <c r="BD307" s="58" t="s">
        <v>45</v>
      </c>
      <c r="BE307" s="79" t="s">
        <v>23</v>
      </c>
      <c r="BF307" s="9">
        <v>15.723487773523738</v>
      </c>
      <c r="BG307" s="58" t="s">
        <v>45</v>
      </c>
      <c r="BH307" s="72" t="s">
        <v>264</v>
      </c>
      <c r="BI307" s="9">
        <v>13.32804709514299</v>
      </c>
      <c r="BJ307" s="55" t="s">
        <v>45</v>
      </c>
      <c r="BK307" s="63" t="s">
        <v>124</v>
      </c>
      <c r="BL307" s="9">
        <v>13.314594255192524</v>
      </c>
      <c r="BM307" s="72" t="s">
        <v>225</v>
      </c>
      <c r="BN307" s="58" t="s">
        <v>267</v>
      </c>
      <c r="BO307" s="9">
        <v>12.532969654411927</v>
      </c>
    </row>
    <row r="308" spans="1:67" x14ac:dyDescent="0.45">
      <c r="A308" s="10">
        <v>287</v>
      </c>
      <c r="B308" s="10" t="s">
        <v>941</v>
      </c>
      <c r="C308" s="64" t="s">
        <v>1889</v>
      </c>
      <c r="D308" s="65"/>
      <c r="E308" s="58" t="s">
        <v>1903</v>
      </c>
      <c r="F308" s="77"/>
      <c r="G308" s="77" t="s">
        <v>1888</v>
      </c>
      <c r="H308" s="10"/>
      <c r="I308" s="62">
        <v>94.045701190000003</v>
      </c>
      <c r="J308" s="62">
        <v>84.562101070000011</v>
      </c>
      <c r="K308" s="62">
        <v>134.35100170000001</v>
      </c>
      <c r="L308" s="49">
        <v>1002.4143745753403</v>
      </c>
      <c r="M308" s="49">
        <v>1045.13024310842</v>
      </c>
      <c r="N308" s="49">
        <v>1080.6098419494556</v>
      </c>
      <c r="O308" s="61">
        <v>10.475198214470781</v>
      </c>
      <c r="P308" s="60"/>
      <c r="Q308" s="15" t="s">
        <v>936</v>
      </c>
      <c r="R308" s="9">
        <v>1</v>
      </c>
      <c r="S308" s="15" t="s">
        <v>936</v>
      </c>
      <c r="T308" s="9">
        <v>0.58823529411764708</v>
      </c>
      <c r="U308" s="15" t="s">
        <v>936</v>
      </c>
      <c r="V308" s="9">
        <v>8.82</v>
      </c>
      <c r="W308" s="64" t="s">
        <v>1480</v>
      </c>
      <c r="X308" s="9">
        <v>29.213710357</v>
      </c>
      <c r="Y308" s="64" t="s">
        <v>1480</v>
      </c>
      <c r="Z308" s="9">
        <v>15.37563703</v>
      </c>
      <c r="AA308" s="15" t="s">
        <v>936</v>
      </c>
      <c r="AB308" s="15" t="s">
        <v>1480</v>
      </c>
      <c r="AC308" s="9">
        <v>5.5366613153228963</v>
      </c>
      <c r="AD308" s="64" t="s">
        <v>936</v>
      </c>
      <c r="AE308" s="76" t="s">
        <v>1491</v>
      </c>
      <c r="AF308" s="9">
        <v>4.4721715181691453</v>
      </c>
      <c r="AG308" s="15" t="s">
        <v>936</v>
      </c>
      <c r="AH308" s="55" t="s">
        <v>106</v>
      </c>
      <c r="AI308" s="9">
        <v>4.0967409533471075</v>
      </c>
      <c r="AJ308" s="72"/>
      <c r="AK308" s="78"/>
      <c r="AL308" s="9"/>
      <c r="AM308" s="72"/>
      <c r="AN308" s="72"/>
      <c r="AO308" s="9"/>
      <c r="AP308" s="60"/>
      <c r="AQ308" s="15" t="s">
        <v>936</v>
      </c>
      <c r="AR308" s="9">
        <v>1</v>
      </c>
      <c r="AS308" s="15" t="s">
        <v>936</v>
      </c>
      <c r="AT308" s="9">
        <v>0.25</v>
      </c>
      <c r="AU308" s="64" t="s">
        <v>936</v>
      </c>
      <c r="AV308" s="9">
        <v>3</v>
      </c>
      <c r="AW308" s="15" t="s">
        <v>1480</v>
      </c>
      <c r="AX308" s="9">
        <v>45.013388156920001</v>
      </c>
      <c r="AY308" s="64" t="s">
        <v>1480</v>
      </c>
      <c r="AZ308" s="9">
        <v>1.2860968044834287</v>
      </c>
      <c r="BA308" s="64" t="s">
        <v>936</v>
      </c>
      <c r="BB308" s="64" t="s">
        <v>1480</v>
      </c>
      <c r="BC308" s="9">
        <v>3.7839516965989475</v>
      </c>
      <c r="BD308" s="64" t="s">
        <v>936</v>
      </c>
      <c r="BE308" s="76" t="s">
        <v>1491</v>
      </c>
      <c r="BF308" s="9">
        <v>2.7222252279013159</v>
      </c>
      <c r="BG308" s="64" t="s">
        <v>936</v>
      </c>
      <c r="BH308" s="55" t="s">
        <v>106</v>
      </c>
      <c r="BI308" s="9">
        <v>2.2396222875842109</v>
      </c>
      <c r="BJ308" s="72"/>
      <c r="BK308" s="76"/>
      <c r="BL308" s="9"/>
      <c r="BM308" s="72"/>
      <c r="BN308" s="78"/>
      <c r="BO308" s="9"/>
    </row>
    <row r="309" spans="1:67" x14ac:dyDescent="0.45">
      <c r="A309" s="10">
        <v>288</v>
      </c>
      <c r="B309" s="10" t="s">
        <v>939</v>
      </c>
      <c r="C309" s="64" t="s">
        <v>1889</v>
      </c>
      <c r="D309" s="65"/>
      <c r="E309" s="58" t="s">
        <v>1903</v>
      </c>
      <c r="F309" s="77"/>
      <c r="G309" s="77" t="s">
        <v>1888</v>
      </c>
      <c r="H309" s="10"/>
      <c r="I309" s="62">
        <v>137.51220174000002</v>
      </c>
      <c r="J309" s="62">
        <v>126.44800160000001</v>
      </c>
      <c r="K309" s="62">
        <v>162.01150205000002</v>
      </c>
      <c r="L309" s="49">
        <v>1968.2041582326303</v>
      </c>
      <c r="M309" s="49">
        <v>1994.6469451797184</v>
      </c>
      <c r="N309" s="49">
        <v>2016.0567325759009</v>
      </c>
      <c r="O309" s="61">
        <v>18.186397100743729</v>
      </c>
      <c r="P309" s="60"/>
      <c r="Q309" s="55" t="s">
        <v>45</v>
      </c>
      <c r="R309" s="9">
        <v>9.2507321044000008</v>
      </c>
      <c r="S309" s="15" t="s">
        <v>1489</v>
      </c>
      <c r="T309" s="9">
        <v>11.900878525280001</v>
      </c>
      <c r="U309" s="55" t="s">
        <v>45</v>
      </c>
      <c r="V309" s="9">
        <v>8.89</v>
      </c>
      <c r="W309" s="80" t="s">
        <v>1504</v>
      </c>
      <c r="X309" s="9">
        <v>56.004880696000008</v>
      </c>
      <c r="Y309" s="64" t="s">
        <v>1480</v>
      </c>
      <c r="Z309" s="9">
        <v>22.238768695789478</v>
      </c>
      <c r="AA309" s="15" t="s">
        <v>1489</v>
      </c>
      <c r="AB309" s="15" t="s">
        <v>1480</v>
      </c>
      <c r="AC309" s="9">
        <v>15.138569402857147</v>
      </c>
      <c r="AD309" s="58" t="s">
        <v>45</v>
      </c>
      <c r="AE309" s="64" t="s">
        <v>1480</v>
      </c>
      <c r="AF309" s="9">
        <v>14.300597809498527</v>
      </c>
      <c r="AG309" s="15" t="s">
        <v>1489</v>
      </c>
      <c r="AH309" s="55" t="s">
        <v>106</v>
      </c>
      <c r="AI309" s="9">
        <v>13.541520382080924</v>
      </c>
      <c r="AJ309" s="15" t="s">
        <v>1489</v>
      </c>
      <c r="AK309" s="80" t="s">
        <v>1504</v>
      </c>
      <c r="AL309" s="9">
        <v>13.37285861323077</v>
      </c>
      <c r="AM309" s="55" t="s">
        <v>45</v>
      </c>
      <c r="AN309" s="55" t="s">
        <v>106</v>
      </c>
      <c r="AO309" s="9">
        <v>12.532178962554516</v>
      </c>
      <c r="AP309" s="60"/>
      <c r="AQ309" s="55" t="s">
        <v>45</v>
      </c>
      <c r="AR309" s="9">
        <v>8.1506344904800017</v>
      </c>
      <c r="AS309" s="15" t="s">
        <v>1489</v>
      </c>
      <c r="AT309" s="9">
        <v>5.2903806942880012</v>
      </c>
      <c r="AU309" s="58" t="s">
        <v>45</v>
      </c>
      <c r="AV309" s="9">
        <v>3.5</v>
      </c>
      <c r="AW309" s="71" t="s">
        <v>1504</v>
      </c>
      <c r="AX309" s="9">
        <v>72.506344904800017</v>
      </c>
      <c r="AY309" s="64" t="s">
        <v>1480</v>
      </c>
      <c r="AZ309" s="9">
        <v>1.8673060118377147</v>
      </c>
      <c r="BA309" s="58" t="s">
        <v>45</v>
      </c>
      <c r="BB309" s="64" t="s">
        <v>1480</v>
      </c>
      <c r="BC309" s="9">
        <v>9.6462620787927289</v>
      </c>
      <c r="BD309" s="64" t="s">
        <v>1489</v>
      </c>
      <c r="BE309" s="64" t="s">
        <v>1480</v>
      </c>
      <c r="BF309" s="9">
        <v>8.5371552737491907</v>
      </c>
      <c r="BG309" s="58" t="s">
        <v>45</v>
      </c>
      <c r="BH309" s="71" t="s">
        <v>1504</v>
      </c>
      <c r="BI309" s="9">
        <v>7.8471061713574821</v>
      </c>
      <c r="BJ309" s="15" t="s">
        <v>1489</v>
      </c>
      <c r="BK309" s="80" t="s">
        <v>1504</v>
      </c>
      <c r="BL309" s="9">
        <v>7.4586376043045179</v>
      </c>
      <c r="BM309" s="55" t="s">
        <v>45</v>
      </c>
      <c r="BN309" s="58" t="s">
        <v>106</v>
      </c>
      <c r="BO309" s="9">
        <v>7.0460313549818201</v>
      </c>
    </row>
    <row r="310" spans="1:67" x14ac:dyDescent="0.45">
      <c r="A310" s="10">
        <v>289</v>
      </c>
      <c r="B310" s="10" t="s">
        <v>328</v>
      </c>
      <c r="C310" s="64" t="s">
        <v>1889</v>
      </c>
      <c r="D310" s="65"/>
      <c r="E310" s="58" t="s">
        <v>1903</v>
      </c>
      <c r="F310" s="77"/>
      <c r="G310" s="77" t="s">
        <v>1888</v>
      </c>
      <c r="H310" s="10"/>
      <c r="I310" s="62">
        <v>241.04150305000002</v>
      </c>
      <c r="J310" s="62">
        <v>143.04430181000001</v>
      </c>
      <c r="K310" s="62">
        <v>236.29970299000001</v>
      </c>
      <c r="L310" s="49">
        <v>4431.5810419195859</v>
      </c>
      <c r="M310" s="49">
        <v>4049.0242383886989</v>
      </c>
      <c r="N310" s="49">
        <v>3766.8967910629303</v>
      </c>
      <c r="O310" s="61">
        <v>29.57131755837533</v>
      </c>
      <c r="P310" s="60"/>
      <c r="Q310" s="15" t="s">
        <v>936</v>
      </c>
      <c r="R310" s="9">
        <v>1</v>
      </c>
      <c r="S310" s="15" t="s">
        <v>936</v>
      </c>
      <c r="T310" s="9">
        <v>0.58823529411764708</v>
      </c>
      <c r="U310" s="15" t="s">
        <v>936</v>
      </c>
      <c r="V310" s="9">
        <v>8.82</v>
      </c>
      <c r="W310" s="64" t="s">
        <v>112</v>
      </c>
      <c r="X310" s="9">
        <v>217.937352745</v>
      </c>
      <c r="Y310" s="64" t="s">
        <v>112</v>
      </c>
      <c r="Z310" s="9">
        <v>57.351934932894736</v>
      </c>
      <c r="AA310" s="15" t="s">
        <v>936</v>
      </c>
      <c r="AB310" s="15" t="s">
        <v>112</v>
      </c>
      <c r="AC310" s="9">
        <v>14.327219920063694</v>
      </c>
      <c r="AD310" s="64" t="s">
        <v>936</v>
      </c>
      <c r="AE310" s="64" t="s">
        <v>1480</v>
      </c>
      <c r="AF310" s="9">
        <v>13.303562783463796</v>
      </c>
      <c r="AG310" s="15" t="s">
        <v>936</v>
      </c>
      <c r="AH310" s="14" t="s">
        <v>84</v>
      </c>
      <c r="AI310" s="9">
        <v>13.16754977110895</v>
      </c>
      <c r="AJ310" s="15" t="s">
        <v>936</v>
      </c>
      <c r="AK310" s="80" t="s">
        <v>79</v>
      </c>
      <c r="AL310" s="9">
        <v>11.401874331290324</v>
      </c>
      <c r="AM310" s="55"/>
      <c r="AN310" s="55"/>
      <c r="AO310" s="9"/>
      <c r="AP310" s="60"/>
      <c r="AQ310" s="15" t="s">
        <v>936</v>
      </c>
      <c r="AR310" s="9">
        <v>1</v>
      </c>
      <c r="AS310" s="15" t="s">
        <v>936</v>
      </c>
      <c r="AT310" s="9">
        <v>0.25</v>
      </c>
      <c r="AU310" s="64" t="s">
        <v>936</v>
      </c>
      <c r="AV310" s="9">
        <v>3</v>
      </c>
      <c r="AW310" s="15" t="s">
        <v>112</v>
      </c>
      <c r="AX310" s="9">
        <v>283.01855856850005</v>
      </c>
      <c r="AY310" s="64" t="s">
        <v>112</v>
      </c>
      <c r="AZ310" s="9">
        <v>3.5377319821062505</v>
      </c>
      <c r="BA310" s="64" t="s">
        <v>936</v>
      </c>
      <c r="BB310" s="64" t="s">
        <v>112</v>
      </c>
      <c r="BC310" s="9">
        <v>10.470550309704821</v>
      </c>
      <c r="BD310" s="64" t="s">
        <v>936</v>
      </c>
      <c r="BE310" s="64" t="s">
        <v>1480</v>
      </c>
      <c r="BF310" s="9">
        <v>9.215059744268423</v>
      </c>
      <c r="BG310" s="64" t="s">
        <v>936</v>
      </c>
      <c r="BH310" s="71" t="s">
        <v>79</v>
      </c>
      <c r="BI310" s="9">
        <v>8.5777517226029421</v>
      </c>
      <c r="BJ310" s="15" t="s">
        <v>936</v>
      </c>
      <c r="BK310" s="65" t="s">
        <v>84</v>
      </c>
      <c r="BL310" s="9">
        <v>7.0004418706785732</v>
      </c>
      <c r="BM310" s="55"/>
      <c r="BN310" s="78"/>
      <c r="BO310" s="9"/>
    </row>
    <row r="311" spans="1:67" x14ac:dyDescent="0.45">
      <c r="A311" s="10">
        <v>290</v>
      </c>
      <c r="B311" s="10" t="s">
        <v>934</v>
      </c>
      <c r="C311" s="80" t="s">
        <v>2165</v>
      </c>
      <c r="D311" s="65"/>
      <c r="E311" s="287" t="s">
        <v>2282</v>
      </c>
      <c r="F311" s="58" t="s">
        <v>2325</v>
      </c>
      <c r="G311" s="290" t="s">
        <v>1992</v>
      </c>
      <c r="H311" s="10"/>
      <c r="I311" s="62">
        <v>75.078500950000006</v>
      </c>
      <c r="J311" s="62">
        <v>111.43230141000001</v>
      </c>
      <c r="K311" s="62">
        <v>94.045701190000003</v>
      </c>
      <c r="L311" s="49">
        <v>768.58272205469984</v>
      </c>
      <c r="M311" s="49">
        <v>852.26978988316057</v>
      </c>
      <c r="N311" s="49">
        <v>925.73413130780409</v>
      </c>
      <c r="O311" s="61">
        <v>9.4290303674132421</v>
      </c>
      <c r="P311" s="60"/>
      <c r="Q311" s="15" t="s">
        <v>3425</v>
      </c>
      <c r="R311" s="9">
        <v>3.2523550285000002</v>
      </c>
      <c r="S311" s="15" t="s">
        <v>3425</v>
      </c>
      <c r="T311" s="9">
        <v>6.5047100570000005</v>
      </c>
      <c r="U311" s="69" t="s">
        <v>38</v>
      </c>
      <c r="V311" s="9">
        <v>12</v>
      </c>
      <c r="W311" s="289" t="s">
        <v>126</v>
      </c>
      <c r="X311" s="9">
        <v>41.542390513000001</v>
      </c>
      <c r="Y311" s="289" t="s">
        <v>126</v>
      </c>
      <c r="Z311" s="9">
        <v>11.227673111621622</v>
      </c>
      <c r="AA311" s="69" t="s">
        <v>38</v>
      </c>
      <c r="AB311" s="69" t="s">
        <v>126</v>
      </c>
      <c r="AC311" s="9">
        <v>8.7261036970974573</v>
      </c>
      <c r="AD311" s="64" t="s">
        <v>1489</v>
      </c>
      <c r="AE311" s="289" t="s">
        <v>126</v>
      </c>
      <c r="AF311" s="9">
        <v>8.2609877758040202</v>
      </c>
      <c r="AG311" s="69" t="s">
        <v>38</v>
      </c>
      <c r="AH311" s="16" t="s">
        <v>203</v>
      </c>
      <c r="AI311" s="9">
        <v>7.6703227741684552</v>
      </c>
      <c r="AJ311" s="69" t="s">
        <v>38</v>
      </c>
      <c r="AK311" s="76" t="s">
        <v>1491</v>
      </c>
      <c r="AL311" s="9">
        <v>7.6014370214843758</v>
      </c>
      <c r="AM311" s="15" t="s">
        <v>1489</v>
      </c>
      <c r="AN311" s="16" t="s">
        <v>203</v>
      </c>
      <c r="AO311" s="9">
        <v>7.4237887815355341</v>
      </c>
      <c r="AP311" s="60"/>
      <c r="AQ311" s="15" t="s">
        <v>1489</v>
      </c>
      <c r="AR311" s="9">
        <v>2.9520410247000002</v>
      </c>
      <c r="AS311" s="15" t="s">
        <v>1489</v>
      </c>
      <c r="AT311" s="9">
        <v>2.9520410247000002</v>
      </c>
      <c r="AU311" s="289" t="s">
        <v>38</v>
      </c>
      <c r="AV311" s="9">
        <v>3</v>
      </c>
      <c r="AW311" s="69" t="s">
        <v>126</v>
      </c>
      <c r="AX311" s="9">
        <v>53.705107666900005</v>
      </c>
      <c r="AY311" s="289" t="s">
        <v>126</v>
      </c>
      <c r="AZ311" s="9">
        <v>0.89508512778166671</v>
      </c>
      <c r="BA311" s="289" t="s">
        <v>38</v>
      </c>
      <c r="BB311" s="289" t="s">
        <v>126</v>
      </c>
      <c r="BC311" s="9">
        <v>5.1829450529285719</v>
      </c>
      <c r="BD311" s="64" t="s">
        <v>1489</v>
      </c>
      <c r="BE311" s="289" t="s">
        <v>126</v>
      </c>
      <c r="BF311" s="9">
        <v>4.5892367228354844</v>
      </c>
      <c r="BG311" s="289" t="s">
        <v>38</v>
      </c>
      <c r="BH311" s="67" t="s">
        <v>1491</v>
      </c>
      <c r="BI311" s="9">
        <v>4.5444955448500002</v>
      </c>
      <c r="BJ311" s="69" t="s">
        <v>38</v>
      </c>
      <c r="BK311" s="287" t="s">
        <v>203</v>
      </c>
      <c r="BL311" s="9">
        <v>4.324569870192188</v>
      </c>
      <c r="BM311" s="15" t="s">
        <v>1489</v>
      </c>
      <c r="BN311" s="76" t="s">
        <v>1491</v>
      </c>
      <c r="BO311" s="9">
        <v>4.1654719319459463</v>
      </c>
    </row>
    <row r="312" spans="1:67" x14ac:dyDescent="0.45">
      <c r="A312" s="10">
        <v>291</v>
      </c>
      <c r="B312" s="10" t="s">
        <v>931</v>
      </c>
      <c r="C312" s="287" t="s">
        <v>2108</v>
      </c>
      <c r="D312" s="56" t="s">
        <v>2025</v>
      </c>
      <c r="E312" s="287" t="s">
        <v>2205</v>
      </c>
      <c r="F312" s="289" t="s">
        <v>1887</v>
      </c>
      <c r="G312" s="58" t="s">
        <v>2164</v>
      </c>
      <c r="H312" s="80" t="s">
        <v>1892</v>
      </c>
      <c r="I312" s="62">
        <v>169.12420214000002</v>
      </c>
      <c r="J312" s="62">
        <v>100.36810127000001</v>
      </c>
      <c r="K312" s="62">
        <v>135.14130171000002</v>
      </c>
      <c r="L312" s="49">
        <v>1969.689019743375</v>
      </c>
      <c r="M312" s="49">
        <v>1739.374283051163</v>
      </c>
      <c r="N312" s="49">
        <v>1574.6692593558678</v>
      </c>
      <c r="O312" s="61">
        <v>12.326671265855522</v>
      </c>
      <c r="P312" s="60"/>
      <c r="Q312" s="53" t="s">
        <v>56</v>
      </c>
      <c r="R312" s="9">
        <v>7.7649680856000005</v>
      </c>
      <c r="S312" s="53" t="s">
        <v>56</v>
      </c>
      <c r="T312" s="9">
        <v>11.092811550857144</v>
      </c>
      <c r="U312" s="69" t="s">
        <v>27</v>
      </c>
      <c r="V312" s="9">
        <v>15</v>
      </c>
      <c r="W312" s="289" t="s">
        <v>126</v>
      </c>
      <c r="X312" s="9">
        <v>92.327069155600014</v>
      </c>
      <c r="Y312" s="77" t="s">
        <v>73</v>
      </c>
      <c r="Z312" s="9">
        <v>28.520700356666669</v>
      </c>
      <c r="AA312" s="69" t="s">
        <v>27</v>
      </c>
      <c r="AB312" s="68" t="s">
        <v>73</v>
      </c>
      <c r="AC312" s="9">
        <v>18.831168114368424</v>
      </c>
      <c r="AD312" s="289" t="s">
        <v>27</v>
      </c>
      <c r="AE312" s="289" t="s">
        <v>126</v>
      </c>
      <c r="AF312" s="9">
        <v>17.91881983079621</v>
      </c>
      <c r="AG312" s="53" t="s">
        <v>56</v>
      </c>
      <c r="AH312" s="68" t="s">
        <v>73</v>
      </c>
      <c r="AI312" s="9">
        <v>17.628269853035718</v>
      </c>
      <c r="AJ312" s="69" t="s">
        <v>27</v>
      </c>
      <c r="AK312" s="287" t="s">
        <v>203</v>
      </c>
      <c r="AL312" s="9">
        <v>17.151698612543271</v>
      </c>
      <c r="AM312" s="53" t="s">
        <v>56</v>
      </c>
      <c r="AN312" s="69" t="s">
        <v>126</v>
      </c>
      <c r="AO312" s="9">
        <v>16.987485851711007</v>
      </c>
      <c r="AP312" s="60"/>
      <c r="AQ312" s="53" t="s">
        <v>56</v>
      </c>
      <c r="AR312" s="9">
        <v>6.4965365695500008</v>
      </c>
      <c r="AS312" s="69" t="s">
        <v>27</v>
      </c>
      <c r="AT312" s="9">
        <v>3.6383375533840003</v>
      </c>
      <c r="AU312" s="289" t="s">
        <v>27</v>
      </c>
      <c r="AV312" s="9">
        <v>4</v>
      </c>
      <c r="AW312" s="69" t="s">
        <v>126</v>
      </c>
      <c r="AX312" s="9">
        <v>119.72518990228002</v>
      </c>
      <c r="AY312" s="77" t="s">
        <v>73</v>
      </c>
      <c r="AZ312" s="9">
        <v>2.0169223889272732</v>
      </c>
      <c r="BA312" s="289" t="s">
        <v>27</v>
      </c>
      <c r="BB312" s="77" t="s">
        <v>73</v>
      </c>
      <c r="BC312" s="9">
        <v>10.912398152544409</v>
      </c>
      <c r="BD312" s="289" t="s">
        <v>27</v>
      </c>
      <c r="BE312" s="289" t="s">
        <v>126</v>
      </c>
      <c r="BF312" s="9">
        <v>10.893765825190002</v>
      </c>
      <c r="BG312" s="289" t="s">
        <v>27</v>
      </c>
      <c r="BH312" s="16" t="s">
        <v>203</v>
      </c>
      <c r="BI312" s="9">
        <v>9.3457616484595931</v>
      </c>
      <c r="BJ312" s="53" t="s">
        <v>56</v>
      </c>
      <c r="BK312" s="77" t="s">
        <v>73</v>
      </c>
      <c r="BL312" s="9">
        <v>8.8180508592349156</v>
      </c>
      <c r="BM312" s="53" t="s">
        <v>56</v>
      </c>
      <c r="BN312" s="289" t="s">
        <v>126</v>
      </c>
      <c r="BO312" s="9">
        <v>8.7947883617990481</v>
      </c>
    </row>
    <row r="313" spans="1:67" x14ac:dyDescent="0.45">
      <c r="A313" s="10">
        <v>292</v>
      </c>
      <c r="B313" s="10" t="s">
        <v>928</v>
      </c>
      <c r="C313" s="289" t="s">
        <v>2166</v>
      </c>
      <c r="D313" s="65"/>
      <c r="E313" s="287" t="s">
        <v>2326</v>
      </c>
      <c r="F313" s="63" t="s">
        <v>2327</v>
      </c>
      <c r="G313" s="64" t="s">
        <v>1889</v>
      </c>
      <c r="H313" s="58" t="s">
        <v>1903</v>
      </c>
      <c r="I313" s="62">
        <v>132.77040168000002</v>
      </c>
      <c r="J313" s="62">
        <v>69.546400880000007</v>
      </c>
      <c r="K313" s="62">
        <v>12.644800160000001</v>
      </c>
      <c r="L313" s="49">
        <v>393.72644358433206</v>
      </c>
      <c r="M313" s="49">
        <v>238.88667879444333</v>
      </c>
      <c r="N313" s="49">
        <v>160.17318496820934</v>
      </c>
      <c r="O313" s="61">
        <v>0.82221803584332231</v>
      </c>
      <c r="P313" s="60"/>
      <c r="Q313" s="69" t="s">
        <v>1523</v>
      </c>
      <c r="R313" s="9">
        <v>12.949336151200001</v>
      </c>
      <c r="S313" s="67" t="s">
        <v>66</v>
      </c>
      <c r="T313" s="9">
        <v>9.9662241008000017</v>
      </c>
      <c r="U313" s="69" t="s">
        <v>1523</v>
      </c>
      <c r="V313" s="9">
        <v>10</v>
      </c>
      <c r="W313" s="80" t="s">
        <v>1490</v>
      </c>
      <c r="X313" s="9">
        <v>67.38520084000001</v>
      </c>
      <c r="Y313" s="287" t="s">
        <v>203</v>
      </c>
      <c r="Z313" s="9">
        <v>15.629941859166671</v>
      </c>
      <c r="AA313" s="67" t="s">
        <v>66</v>
      </c>
      <c r="AB313" s="16" t="s">
        <v>203</v>
      </c>
      <c r="AC313" s="9">
        <v>12.03621231705584</v>
      </c>
      <c r="AD313" s="76" t="s">
        <v>66</v>
      </c>
      <c r="AE313" s="80" t="s">
        <v>1490</v>
      </c>
      <c r="AF313" s="9">
        <v>11.842383695890412</v>
      </c>
      <c r="AG313" s="67" t="s">
        <v>66</v>
      </c>
      <c r="AH313" s="68" t="s">
        <v>151</v>
      </c>
      <c r="AI313" s="9">
        <v>11.654300130754718</v>
      </c>
      <c r="AJ313" s="69" t="s">
        <v>1523</v>
      </c>
      <c r="AK313" s="287" t="s">
        <v>203</v>
      </c>
      <c r="AL313" s="9">
        <v>11.561888898875971</v>
      </c>
      <c r="AM313" s="69" t="s">
        <v>1523</v>
      </c>
      <c r="AN313" s="71" t="s">
        <v>1490</v>
      </c>
      <c r="AO313" s="9">
        <v>11.396871616219931</v>
      </c>
      <c r="AP313" s="60"/>
      <c r="AQ313" s="69" t="s">
        <v>1523</v>
      </c>
      <c r="AR313" s="9">
        <v>10.320482197936002</v>
      </c>
      <c r="AS313" s="67" t="s">
        <v>66</v>
      </c>
      <c r="AT313" s="9">
        <v>4.4520304436800009</v>
      </c>
      <c r="AU313" s="289" t="s">
        <v>1523</v>
      </c>
      <c r="AV313" s="9">
        <v>2.6666666666666998</v>
      </c>
      <c r="AW313" s="71" t="s">
        <v>1490</v>
      </c>
      <c r="AX313" s="9">
        <v>87.300761092000016</v>
      </c>
      <c r="AY313" s="77" t="s">
        <v>151</v>
      </c>
      <c r="AZ313" s="9">
        <v>1.1728990367822225</v>
      </c>
      <c r="BA313" s="76" t="s">
        <v>66</v>
      </c>
      <c r="BB313" s="77" t="s">
        <v>151</v>
      </c>
      <c r="BC313" s="9">
        <v>6.5085592186382986</v>
      </c>
      <c r="BD313" s="76" t="s">
        <v>66</v>
      </c>
      <c r="BE313" s="80" t="s">
        <v>1490</v>
      </c>
      <c r="BF313" s="9">
        <v>6.4727311912000012</v>
      </c>
      <c r="BG313" s="76" t="s">
        <v>66</v>
      </c>
      <c r="BH313" s="16" t="s">
        <v>203</v>
      </c>
      <c r="BI313" s="9">
        <v>6.3249405780170225</v>
      </c>
      <c r="BJ313" s="69" t="s">
        <v>1523</v>
      </c>
      <c r="BK313" s="77" t="s">
        <v>151</v>
      </c>
      <c r="BL313" s="9">
        <v>6.2004570080330081</v>
      </c>
      <c r="BM313" s="69" t="s">
        <v>1523</v>
      </c>
      <c r="BN313" s="80" t="s">
        <v>1490</v>
      </c>
      <c r="BO313" s="9">
        <v>6.1453413893987108</v>
      </c>
    </row>
    <row r="314" spans="1:67" x14ac:dyDescent="0.45">
      <c r="A314" s="10">
        <v>293</v>
      </c>
      <c r="B314" s="10" t="s">
        <v>925</v>
      </c>
      <c r="C314" s="64" t="s">
        <v>1889</v>
      </c>
      <c r="D314" s="65"/>
      <c r="E314" s="58" t="s">
        <v>1903</v>
      </c>
      <c r="F314" s="77"/>
      <c r="G314" s="77" t="s">
        <v>1888</v>
      </c>
      <c r="H314" s="10"/>
      <c r="I314" s="62">
        <v>84.562101070000011</v>
      </c>
      <c r="J314" s="62">
        <v>45.047100570000005</v>
      </c>
      <c r="K314" s="62">
        <v>139.88310177</v>
      </c>
      <c r="L314" s="49">
        <v>671.26161515099079</v>
      </c>
      <c r="M314" s="49">
        <v>657.26207669011626</v>
      </c>
      <c r="N314" s="49">
        <v>646.2729571847683</v>
      </c>
      <c r="O314" s="61">
        <v>6.0297073213636034</v>
      </c>
      <c r="P314" s="60"/>
      <c r="Q314" s="15" t="s">
        <v>288</v>
      </c>
      <c r="R314" s="9">
        <v>4.5516082449400006</v>
      </c>
      <c r="S314" s="15" t="s">
        <v>288</v>
      </c>
      <c r="T314" s="9">
        <v>7.586013741566668</v>
      </c>
      <c r="U314" s="68" t="s">
        <v>277</v>
      </c>
      <c r="V314" s="9">
        <v>12.727</v>
      </c>
      <c r="W314" s="75" t="s">
        <v>2419</v>
      </c>
      <c r="X314" s="9">
        <v>30.596735374500003</v>
      </c>
      <c r="Y314" s="64" t="s">
        <v>1508</v>
      </c>
      <c r="Z314" s="9">
        <v>17.003231384176473</v>
      </c>
      <c r="AA314" s="15" t="s">
        <v>288</v>
      </c>
      <c r="AB314" s="15" t="s">
        <v>1508</v>
      </c>
      <c r="AC314" s="9">
        <v>9.9754570240199012</v>
      </c>
      <c r="AD314" s="64" t="s">
        <v>288</v>
      </c>
      <c r="AE314" s="75" t="s">
        <v>76</v>
      </c>
      <c r="AF314" s="9">
        <v>9.5176116781018525</v>
      </c>
      <c r="AG314" s="68" t="s">
        <v>277</v>
      </c>
      <c r="AH314" s="15" t="s">
        <v>1508</v>
      </c>
      <c r="AI314" s="9">
        <v>7.9162577294847711</v>
      </c>
      <c r="AJ314" s="15" t="s">
        <v>288</v>
      </c>
      <c r="AK314" s="65" t="s">
        <v>1532</v>
      </c>
      <c r="AL314" s="9">
        <v>7.7258222829109071</v>
      </c>
      <c r="AM314" s="68" t="s">
        <v>277</v>
      </c>
      <c r="AN314" s="70" t="s">
        <v>76</v>
      </c>
      <c r="AO314" s="9">
        <v>7.546369433368298</v>
      </c>
      <c r="AP314" s="60"/>
      <c r="AQ314" s="15" t="s">
        <v>288</v>
      </c>
      <c r="AR314" s="9">
        <v>4.2979219417300003</v>
      </c>
      <c r="AS314" s="15" t="s">
        <v>288</v>
      </c>
      <c r="AT314" s="9">
        <v>2.1489609708650002</v>
      </c>
      <c r="AU314" s="77" t="s">
        <v>277</v>
      </c>
      <c r="AV314" s="9">
        <v>3</v>
      </c>
      <c r="AW314" s="70" t="s">
        <v>76</v>
      </c>
      <c r="AX314" s="9">
        <v>50.468829125950009</v>
      </c>
      <c r="AY314" s="64" t="s">
        <v>1508</v>
      </c>
      <c r="AZ314" s="9">
        <v>0.93192853397575015</v>
      </c>
      <c r="BA314" s="64" t="s">
        <v>288</v>
      </c>
      <c r="BB314" s="75" t="s">
        <v>76</v>
      </c>
      <c r="BC314" s="9">
        <v>3.8443949412188605</v>
      </c>
      <c r="BD314" s="64" t="s">
        <v>288</v>
      </c>
      <c r="BE314" s="64" t="s">
        <v>1508</v>
      </c>
      <c r="BF314" s="9">
        <v>3.8217314655395245</v>
      </c>
      <c r="BG314" s="77" t="s">
        <v>277</v>
      </c>
      <c r="BH314" s="70" t="s">
        <v>76</v>
      </c>
      <c r="BI314" s="9">
        <v>3.7952541252653744</v>
      </c>
      <c r="BJ314" s="68" t="s">
        <v>277</v>
      </c>
      <c r="BK314" s="64" t="s">
        <v>1508</v>
      </c>
      <c r="BL314" s="9">
        <v>3.7629845242036439</v>
      </c>
      <c r="BM314" s="15" t="s">
        <v>288</v>
      </c>
      <c r="BN314" s="65" t="s">
        <v>1532</v>
      </c>
      <c r="BO314" s="9">
        <v>3.7373352268643618</v>
      </c>
    </row>
    <row r="315" spans="1:67" x14ac:dyDescent="0.45">
      <c r="A315" s="10">
        <v>294</v>
      </c>
      <c r="B315" s="10" t="s">
        <v>922</v>
      </c>
      <c r="C315" s="64" t="s">
        <v>1889</v>
      </c>
      <c r="D315" s="65"/>
      <c r="E315" s="58" t="s">
        <v>1903</v>
      </c>
      <c r="F315" s="77"/>
      <c r="G315" s="77" t="s">
        <v>1888</v>
      </c>
      <c r="H315" s="10"/>
      <c r="I315" s="62">
        <v>117.75470149</v>
      </c>
      <c r="J315" s="62">
        <v>75.868800960000002</v>
      </c>
      <c r="K315" s="62">
        <v>167.54360212</v>
      </c>
      <c r="L315" s="49">
        <v>1327.6200123135081</v>
      </c>
      <c r="M315" s="49">
        <v>1308.5175438624003</v>
      </c>
      <c r="N315" s="49">
        <v>1293.4336560613069</v>
      </c>
      <c r="O315" s="61">
        <v>11.814946385675805</v>
      </c>
      <c r="P315" s="60"/>
      <c r="Q315" s="55" t="s">
        <v>53</v>
      </c>
      <c r="R315" s="9">
        <v>9.8316026117500002</v>
      </c>
      <c r="S315" s="67" t="s">
        <v>66</v>
      </c>
      <c r="T315" s="9">
        <v>9.0652820894000001</v>
      </c>
      <c r="U315" s="67" t="s">
        <v>66</v>
      </c>
      <c r="V315" s="9">
        <v>8</v>
      </c>
      <c r="W315" s="75" t="s">
        <v>2420</v>
      </c>
      <c r="X315" s="9">
        <v>42.214145521500001</v>
      </c>
      <c r="Y315" s="75" t="s">
        <v>76</v>
      </c>
      <c r="Z315" s="9">
        <v>19.18824796431818</v>
      </c>
      <c r="AA315" s="67" t="s">
        <v>66</v>
      </c>
      <c r="AB315" s="70" t="s">
        <v>76</v>
      </c>
      <c r="AC315" s="9">
        <v>11.700847169260356</v>
      </c>
      <c r="AD315" s="76" t="s">
        <v>66</v>
      </c>
      <c r="AE315" s="76" t="s">
        <v>91</v>
      </c>
      <c r="AF315" s="9">
        <v>10.857848990135748</v>
      </c>
      <c r="AG315" s="55" t="s">
        <v>53</v>
      </c>
      <c r="AH315" s="70" t="s">
        <v>76</v>
      </c>
      <c r="AI315" s="9">
        <v>10.502546963247125</v>
      </c>
      <c r="AJ315" s="55" t="s">
        <v>53</v>
      </c>
      <c r="AK315" s="76" t="s">
        <v>91</v>
      </c>
      <c r="AL315" s="9">
        <v>9.9539142779645999</v>
      </c>
      <c r="AM315" s="67" t="s">
        <v>66</v>
      </c>
      <c r="AN315" s="14" t="s">
        <v>1532</v>
      </c>
      <c r="AO315" s="9">
        <v>9.9156389538016541</v>
      </c>
      <c r="AP315" s="60"/>
      <c r="AQ315" s="55" t="s">
        <v>53</v>
      </c>
      <c r="AR315" s="9">
        <v>7.8886500371650001</v>
      </c>
      <c r="AS315" s="67" t="s">
        <v>66</v>
      </c>
      <c r="AT315" s="9">
        <v>4.0616222387400001</v>
      </c>
      <c r="AU315" s="58" t="s">
        <v>53</v>
      </c>
      <c r="AV315" s="9">
        <v>2.3333333333333002</v>
      </c>
      <c r="AW315" s="70" t="s">
        <v>76</v>
      </c>
      <c r="AX315" s="9">
        <v>69.886500371650001</v>
      </c>
      <c r="AY315" s="75" t="s">
        <v>76</v>
      </c>
      <c r="AZ315" s="9">
        <v>1.2706636431209091</v>
      </c>
      <c r="BA315" s="76" t="s">
        <v>66</v>
      </c>
      <c r="BB315" s="75" t="s">
        <v>76</v>
      </c>
      <c r="BC315" s="9">
        <v>6.3712670855087721</v>
      </c>
      <c r="BD315" s="76" t="s">
        <v>66</v>
      </c>
      <c r="BE315" s="76" t="s">
        <v>91</v>
      </c>
      <c r="BF315" s="9">
        <v>6.21127189572766</v>
      </c>
      <c r="BG315" s="76" t="s">
        <v>66</v>
      </c>
      <c r="BH315" s="14" t="s">
        <v>1532</v>
      </c>
      <c r="BI315" s="9">
        <v>6.21127189572766</v>
      </c>
      <c r="BJ315" s="55" t="s">
        <v>53</v>
      </c>
      <c r="BK315" s="75" t="s">
        <v>76</v>
      </c>
      <c r="BL315" s="9">
        <v>5.36675148049782</v>
      </c>
      <c r="BM315" s="55" t="s">
        <v>53</v>
      </c>
      <c r="BN315" s="76" t="s">
        <v>91</v>
      </c>
      <c r="BO315" s="9">
        <v>5.1904082811132044</v>
      </c>
    </row>
    <row r="316" spans="1:67" x14ac:dyDescent="0.45">
      <c r="A316" s="10">
        <v>295</v>
      </c>
      <c r="B316" s="10" t="s">
        <v>284</v>
      </c>
      <c r="C316" s="64" t="s">
        <v>1889</v>
      </c>
      <c r="D316" s="65"/>
      <c r="E316" s="58" t="s">
        <v>1903</v>
      </c>
      <c r="F316" s="77"/>
      <c r="G316" s="77" t="s">
        <v>1888</v>
      </c>
      <c r="H316" s="10"/>
      <c r="I316" s="62">
        <v>153.31820194000002</v>
      </c>
      <c r="J316" s="62">
        <v>120.12560152</v>
      </c>
      <c r="K316" s="62">
        <v>195.20410247000001</v>
      </c>
      <c r="L316" s="49">
        <v>2347.7723058113434</v>
      </c>
      <c r="M316" s="49">
        <v>2346.8148210519294</v>
      </c>
      <c r="N316" s="49">
        <v>2346.0491144034527</v>
      </c>
      <c r="O316" s="61">
        <v>20.934268618233869</v>
      </c>
      <c r="P316" s="60"/>
      <c r="Q316" s="68" t="s">
        <v>277</v>
      </c>
      <c r="R316" s="9">
        <v>7.1327280776000013</v>
      </c>
      <c r="S316" s="67" t="s">
        <v>66</v>
      </c>
      <c r="T316" s="9">
        <v>11.199092116400001</v>
      </c>
      <c r="U316" s="68" t="s">
        <v>277</v>
      </c>
      <c r="V316" s="9">
        <v>12.727</v>
      </c>
      <c r="W316" s="75" t="s">
        <v>19</v>
      </c>
      <c r="X316" s="9">
        <v>108.32274135800002</v>
      </c>
      <c r="Y316" s="75" t="s">
        <v>19</v>
      </c>
      <c r="Z316" s="9">
        <v>25.791128894761908</v>
      </c>
      <c r="AA316" s="67" t="s">
        <v>66</v>
      </c>
      <c r="AB316" s="70" t="s">
        <v>19</v>
      </c>
      <c r="AC316" s="9">
        <v>14.868945677425152</v>
      </c>
      <c r="AD316" s="76" t="s">
        <v>66</v>
      </c>
      <c r="AE316" s="76" t="s">
        <v>91</v>
      </c>
      <c r="AF316" s="9">
        <v>13.754423687420815</v>
      </c>
      <c r="AG316" s="68" t="s">
        <v>277</v>
      </c>
      <c r="AH316" s="70" t="s">
        <v>19</v>
      </c>
      <c r="AI316" s="9">
        <v>12.721889690676925</v>
      </c>
      <c r="AJ316" s="67" t="s">
        <v>66</v>
      </c>
      <c r="AK316" s="65" t="s">
        <v>1532</v>
      </c>
      <c r="AL316" s="9">
        <v>12.560857995537191</v>
      </c>
      <c r="AM316" s="68" t="s">
        <v>277</v>
      </c>
      <c r="AN316" s="67" t="s">
        <v>91</v>
      </c>
      <c r="AO316" s="9">
        <v>12.31199008297054</v>
      </c>
      <c r="AP316" s="60"/>
      <c r="AQ316" s="68" t="s">
        <v>277</v>
      </c>
      <c r="AR316" s="9">
        <v>5.9828415630500009</v>
      </c>
      <c r="AS316" s="67" t="s">
        <v>66</v>
      </c>
      <c r="AT316" s="9">
        <v>4.9862732504400009</v>
      </c>
      <c r="AU316" s="77" t="s">
        <v>277</v>
      </c>
      <c r="AV316" s="9">
        <v>3</v>
      </c>
      <c r="AW316" s="70" t="s">
        <v>19</v>
      </c>
      <c r="AX316" s="9">
        <v>140.51956376540002</v>
      </c>
      <c r="AY316" s="75" t="s">
        <v>19</v>
      </c>
      <c r="AZ316" s="9">
        <v>1.7564945470675002</v>
      </c>
      <c r="BA316" s="76" t="s">
        <v>66</v>
      </c>
      <c r="BB316" s="75" t="s">
        <v>19</v>
      </c>
      <c r="BC316" s="9">
        <v>8.2919632630000013</v>
      </c>
      <c r="BD316" s="76" t="s">
        <v>66</v>
      </c>
      <c r="BE316" s="76" t="s">
        <v>91</v>
      </c>
      <c r="BF316" s="9">
        <v>7.7851459581957458</v>
      </c>
      <c r="BG316" s="76" t="s">
        <v>66</v>
      </c>
      <c r="BH316" s="14" t="s">
        <v>1532</v>
      </c>
      <c r="BI316" s="9">
        <v>7.7851459581957458</v>
      </c>
      <c r="BJ316" s="68" t="s">
        <v>277</v>
      </c>
      <c r="BK316" s="75" t="s">
        <v>19</v>
      </c>
      <c r="BL316" s="9">
        <v>7.001218469608836</v>
      </c>
      <c r="BM316" s="68" t="s">
        <v>277</v>
      </c>
      <c r="BN316" s="76" t="s">
        <v>91</v>
      </c>
      <c r="BO316" s="9">
        <v>6.2921243561218763</v>
      </c>
    </row>
    <row r="317" spans="1:67" x14ac:dyDescent="0.45">
      <c r="A317" s="10">
        <v>296</v>
      </c>
      <c r="B317" s="10" t="s">
        <v>917</v>
      </c>
      <c r="C317" s="58" t="s">
        <v>1903</v>
      </c>
      <c r="D317" s="65"/>
      <c r="E317" s="287" t="s">
        <v>2235</v>
      </c>
      <c r="F317" s="289" t="s">
        <v>2236</v>
      </c>
      <c r="G317" s="242"/>
      <c r="H317" s="10"/>
      <c r="I317" s="62">
        <v>90.09420114000001</v>
      </c>
      <c r="J317" s="62">
        <v>54.530700690000003</v>
      </c>
      <c r="K317" s="62">
        <v>150.94730191000002</v>
      </c>
      <c r="L317" s="49">
        <v>817.39138330614139</v>
      </c>
      <c r="M317" s="49">
        <v>819.29854026667488</v>
      </c>
      <c r="N317" s="49">
        <v>820.82746921026649</v>
      </c>
      <c r="O317" s="61">
        <v>7.8056164083524564</v>
      </c>
      <c r="P317" s="60"/>
      <c r="Q317" s="55" t="s">
        <v>53</v>
      </c>
      <c r="R317" s="9">
        <v>9.1084781026000012</v>
      </c>
      <c r="S317" s="55" t="s">
        <v>53</v>
      </c>
      <c r="T317" s="9">
        <v>7.0065216173846157</v>
      </c>
      <c r="U317" s="15" t="s">
        <v>127</v>
      </c>
      <c r="V317" s="9">
        <v>10</v>
      </c>
      <c r="W317" s="59" t="s">
        <v>0</v>
      </c>
      <c r="X317" s="9">
        <v>32.532970399000007</v>
      </c>
      <c r="Y317" s="58" t="s">
        <v>1513</v>
      </c>
      <c r="Z317" s="9">
        <v>18.68550689466667</v>
      </c>
      <c r="AA317" s="15" t="s">
        <v>127</v>
      </c>
      <c r="AB317" s="55" t="s">
        <v>1513</v>
      </c>
      <c r="AC317" s="9">
        <v>9.3156631733846176</v>
      </c>
      <c r="AD317" s="58" t="s">
        <v>53</v>
      </c>
      <c r="AE317" s="58" t="s">
        <v>1513</v>
      </c>
      <c r="AF317" s="9">
        <v>9.1963313568750014</v>
      </c>
      <c r="AG317" s="15" t="s">
        <v>127</v>
      </c>
      <c r="AH317" s="53" t="s">
        <v>0</v>
      </c>
      <c r="AI317" s="9">
        <v>9.1628902371831007</v>
      </c>
      <c r="AJ317" s="55" t="s">
        <v>53</v>
      </c>
      <c r="AK317" s="59" t="s">
        <v>0</v>
      </c>
      <c r="AL317" s="9">
        <v>9.0785303386046525</v>
      </c>
      <c r="AM317" s="55" t="s">
        <v>53</v>
      </c>
      <c r="AN317" s="55" t="s">
        <v>201</v>
      </c>
      <c r="AO317" s="9">
        <v>8.5001393500962568</v>
      </c>
      <c r="AP317" s="60"/>
      <c r="AQ317" s="55" t="s">
        <v>53</v>
      </c>
      <c r="AR317" s="9">
        <v>7.3246129200280006</v>
      </c>
      <c r="AS317" s="15" t="s">
        <v>127</v>
      </c>
      <c r="AT317" s="9">
        <v>2.7568369222300002</v>
      </c>
      <c r="AU317" s="58" t="s">
        <v>53</v>
      </c>
      <c r="AV317" s="9">
        <v>2.3333333333333002</v>
      </c>
      <c r="AW317" s="53" t="s">
        <v>0</v>
      </c>
      <c r="AX317" s="9">
        <v>41.992861518700003</v>
      </c>
      <c r="AY317" s="58" t="s">
        <v>1513</v>
      </c>
      <c r="AZ317" s="9">
        <v>1.0324782412742859</v>
      </c>
      <c r="BA317" s="64" t="s">
        <v>127</v>
      </c>
      <c r="BB317" s="58" t="s">
        <v>1513</v>
      </c>
      <c r="BC317" s="9">
        <v>4.5611559234391894</v>
      </c>
      <c r="BD317" s="58" t="s">
        <v>53</v>
      </c>
      <c r="BE317" s="58" t="s">
        <v>1513</v>
      </c>
      <c r="BF317" s="9">
        <v>4.5474876902962507</v>
      </c>
      <c r="BG317" s="64" t="s">
        <v>127</v>
      </c>
      <c r="BH317" s="53" t="s">
        <v>0</v>
      </c>
      <c r="BI317" s="9">
        <v>4.2659147913250006</v>
      </c>
      <c r="BJ317" s="55" t="s">
        <v>53</v>
      </c>
      <c r="BK317" s="59" t="s">
        <v>0</v>
      </c>
      <c r="BL317" s="9">
        <v>4.2049724626261149</v>
      </c>
      <c r="BM317" s="15" t="s">
        <v>127</v>
      </c>
      <c r="BN317" s="58" t="s">
        <v>201</v>
      </c>
      <c r="BO317" s="9">
        <v>4.011720438108572</v>
      </c>
    </row>
    <row r="318" spans="1:67" x14ac:dyDescent="0.45">
      <c r="A318" s="10">
        <v>297</v>
      </c>
      <c r="B318" s="10" t="s">
        <v>299</v>
      </c>
      <c r="C318" s="58" t="s">
        <v>1903</v>
      </c>
      <c r="D318" s="65"/>
      <c r="E318" s="287" t="s">
        <v>2235</v>
      </c>
      <c r="F318" s="289" t="s">
        <v>2236</v>
      </c>
      <c r="G318" s="242"/>
      <c r="H318" s="10"/>
      <c r="I318" s="62">
        <v>177.02720224000001</v>
      </c>
      <c r="J318" s="62">
        <v>101.94870129</v>
      </c>
      <c r="K318" s="62">
        <v>250.52510317000002</v>
      </c>
      <c r="L318" s="49">
        <v>2829.1532919431729</v>
      </c>
      <c r="M318" s="49">
        <v>2734.3155697901752</v>
      </c>
      <c r="N318" s="49">
        <v>2660.739519811737</v>
      </c>
      <c r="O318" s="61">
        <v>23.177765787849697</v>
      </c>
      <c r="P318" s="60"/>
      <c r="Q318" s="55" t="s">
        <v>45</v>
      </c>
      <c r="R318" s="9">
        <v>13.74595856128</v>
      </c>
      <c r="S318" s="55" t="s">
        <v>45</v>
      </c>
      <c r="T318" s="9">
        <v>15.27328729031111</v>
      </c>
      <c r="U318" s="53" t="s">
        <v>51</v>
      </c>
      <c r="V318" s="9">
        <v>11.111000000000001</v>
      </c>
      <c r="W318" s="58" t="s">
        <v>216</v>
      </c>
      <c r="X318" s="9">
        <v>107.21632134400001</v>
      </c>
      <c r="Y318" s="58" t="s">
        <v>216</v>
      </c>
      <c r="Z318" s="9">
        <v>46.615791888695661</v>
      </c>
      <c r="AA318" s="55" t="s">
        <v>45</v>
      </c>
      <c r="AB318" s="55" t="s">
        <v>267</v>
      </c>
      <c r="AC318" s="9">
        <v>21.922754380492488</v>
      </c>
      <c r="AD318" s="58" t="s">
        <v>45</v>
      </c>
      <c r="AE318" s="58" t="s">
        <v>1774</v>
      </c>
      <c r="AF318" s="9">
        <v>20.544477002944927</v>
      </c>
      <c r="AG318" s="55" t="s">
        <v>45</v>
      </c>
      <c r="AH318" s="55" t="s">
        <v>216</v>
      </c>
      <c r="AI318" s="9">
        <v>20.422413045760003</v>
      </c>
      <c r="AJ318" s="53" t="s">
        <v>51</v>
      </c>
      <c r="AK318" s="58" t="s">
        <v>267</v>
      </c>
      <c r="AL318" s="9">
        <v>19.642473571333337</v>
      </c>
      <c r="AM318" s="55" t="s">
        <v>45</v>
      </c>
      <c r="AN318" s="53" t="s">
        <v>0</v>
      </c>
      <c r="AO318" s="9">
        <v>19.271425474692556</v>
      </c>
      <c r="AP318" s="60"/>
      <c r="AQ318" s="55" t="s">
        <v>45</v>
      </c>
      <c r="AR318" s="9">
        <v>12.046497419776001</v>
      </c>
      <c r="AS318" s="55" t="s">
        <v>45</v>
      </c>
      <c r="AT318" s="9">
        <v>6.0232487098880005</v>
      </c>
      <c r="AU318" s="58" t="s">
        <v>2458</v>
      </c>
      <c r="AV318" s="9">
        <v>3.5</v>
      </c>
      <c r="AW318" s="55" t="s">
        <v>216</v>
      </c>
      <c r="AX318" s="9">
        <v>139.08121774720001</v>
      </c>
      <c r="AY318" s="58" t="s">
        <v>216</v>
      </c>
      <c r="AZ318" s="9">
        <v>3.0906937277155557</v>
      </c>
      <c r="BA318" s="58" t="s">
        <v>45</v>
      </c>
      <c r="BB318" s="58" t="s">
        <v>216</v>
      </c>
      <c r="BC318" s="9">
        <v>15.625370186807423</v>
      </c>
      <c r="BD318" s="58" t="s">
        <v>45</v>
      </c>
      <c r="BE318" s="58" t="s">
        <v>1774</v>
      </c>
      <c r="BF318" s="9">
        <v>15.062564855021609</v>
      </c>
      <c r="BG318" s="58" t="s">
        <v>45</v>
      </c>
      <c r="BH318" s="55" t="s">
        <v>267</v>
      </c>
      <c r="BI318" s="9">
        <v>13.824640586880001</v>
      </c>
      <c r="BJ318" s="53" t="s">
        <v>51</v>
      </c>
      <c r="BK318" s="58" t="s">
        <v>216</v>
      </c>
      <c r="BL318" s="9">
        <v>13.703621280016497</v>
      </c>
      <c r="BM318" s="53" t="s">
        <v>51</v>
      </c>
      <c r="BN318" s="58" t="s">
        <v>1774</v>
      </c>
      <c r="BO318" s="9">
        <v>13.157996334370576</v>
      </c>
    </row>
    <row r="319" spans="1:67" x14ac:dyDescent="0.45">
      <c r="A319" s="10">
        <v>298</v>
      </c>
      <c r="B319" s="10" t="s">
        <v>914</v>
      </c>
      <c r="C319" s="64" t="s">
        <v>2116</v>
      </c>
      <c r="D319" s="65"/>
      <c r="E319" s="63" t="s">
        <v>2221</v>
      </c>
      <c r="F319" s="289" t="s">
        <v>2226</v>
      </c>
      <c r="G319" s="77" t="s">
        <v>2189</v>
      </c>
      <c r="H319" s="10"/>
      <c r="I319" s="62">
        <v>40.305300510000002</v>
      </c>
      <c r="J319" s="62">
        <v>67.965800860000002</v>
      </c>
      <c r="K319" s="62">
        <v>120.12560152</v>
      </c>
      <c r="L319" s="49">
        <v>364.18761331379341</v>
      </c>
      <c r="M319" s="49">
        <v>476.64179170336837</v>
      </c>
      <c r="N319" s="49">
        <v>591.1336426511109</v>
      </c>
      <c r="O319" s="61">
        <v>7.6448447174258458</v>
      </c>
      <c r="P319" s="60"/>
      <c r="Q319" s="73" t="s">
        <v>214</v>
      </c>
      <c r="R319" s="9">
        <v>3.4183180306000001</v>
      </c>
      <c r="S319" s="73" t="s">
        <v>214</v>
      </c>
      <c r="T319" s="9">
        <v>2.8485983588333337</v>
      </c>
      <c r="U319" s="73" t="s">
        <v>214</v>
      </c>
      <c r="V319" s="9">
        <v>11.667</v>
      </c>
      <c r="W319" s="291" t="s">
        <v>189</v>
      </c>
      <c r="X319" s="9">
        <v>19.137385229500001</v>
      </c>
      <c r="Y319" s="64" t="s">
        <v>1480</v>
      </c>
      <c r="Z319" s="9">
        <v>6.8903106068421058</v>
      </c>
      <c r="AA319" s="73" t="s">
        <v>214</v>
      </c>
      <c r="AB319" s="15" t="s">
        <v>1480</v>
      </c>
      <c r="AC319" s="9">
        <v>4.4628558032332339</v>
      </c>
      <c r="AD319" s="288" t="s">
        <v>214</v>
      </c>
      <c r="AE319" s="291" t="s">
        <v>189</v>
      </c>
      <c r="AF319" s="9">
        <v>4.1321967489924676</v>
      </c>
      <c r="AG319" s="73" t="s">
        <v>214</v>
      </c>
      <c r="AH319" s="73" t="s">
        <v>1524</v>
      </c>
      <c r="AI319" s="9">
        <v>3.8274118762737741</v>
      </c>
      <c r="AJ319" s="73" t="s">
        <v>1230</v>
      </c>
      <c r="AK319" s="64" t="s">
        <v>1480</v>
      </c>
      <c r="AL319" s="9">
        <v>0.96827299847071591</v>
      </c>
      <c r="AM319" s="73" t="s">
        <v>1230</v>
      </c>
      <c r="AN319" s="74" t="s">
        <v>189</v>
      </c>
      <c r="AO319" s="9">
        <v>0.94817154091299682</v>
      </c>
      <c r="AP319" s="60"/>
      <c r="AQ319" s="73" t="s">
        <v>214</v>
      </c>
      <c r="AR319" s="9">
        <v>3.0958756265200003</v>
      </c>
      <c r="AS319" s="73" t="s">
        <v>214</v>
      </c>
      <c r="AT319" s="9">
        <v>1.0319585421733335</v>
      </c>
      <c r="AU319" s="288" t="s">
        <v>214</v>
      </c>
      <c r="AV319" s="9">
        <v>3.6666666666666998</v>
      </c>
      <c r="AW319" s="74" t="s">
        <v>189</v>
      </c>
      <c r="AX319" s="9">
        <v>24.578600798350003</v>
      </c>
      <c r="AY319" s="64" t="s">
        <v>1480</v>
      </c>
      <c r="AZ319" s="9">
        <v>0.56751087539085709</v>
      </c>
      <c r="BA319" s="288" t="s">
        <v>214</v>
      </c>
      <c r="BB319" s="64" t="s">
        <v>1480</v>
      </c>
      <c r="BC319" s="9">
        <v>2.8176494306351723</v>
      </c>
      <c r="BD319" s="288" t="s">
        <v>214</v>
      </c>
      <c r="BE319" s="291" t="s">
        <v>189</v>
      </c>
      <c r="BF319" s="9">
        <v>2.5036236831843754</v>
      </c>
      <c r="BG319" s="288" t="s">
        <v>1230</v>
      </c>
      <c r="BH319" s="15" t="s">
        <v>1480</v>
      </c>
      <c r="BI319" s="9">
        <v>1.7983853135800001</v>
      </c>
      <c r="BJ319" s="73" t="s">
        <v>214</v>
      </c>
      <c r="BK319" s="288" t="s">
        <v>1524</v>
      </c>
      <c r="BL319" s="9">
        <v>1.5792423642933209</v>
      </c>
      <c r="BM319" s="73" t="s">
        <v>1230</v>
      </c>
      <c r="BN319" s="291" t="s">
        <v>189</v>
      </c>
      <c r="BO319" s="9">
        <v>1.5083759033629311</v>
      </c>
    </row>
    <row r="320" spans="1:67" x14ac:dyDescent="0.45">
      <c r="A320" s="10">
        <v>299</v>
      </c>
      <c r="B320" s="10" t="s">
        <v>911</v>
      </c>
      <c r="C320" s="56" t="s">
        <v>2025</v>
      </c>
      <c r="D320" s="65"/>
      <c r="E320" s="58" t="s">
        <v>2289</v>
      </c>
      <c r="F320" s="64" t="s">
        <v>2290</v>
      </c>
      <c r="G320" s="242"/>
      <c r="H320" s="10"/>
      <c r="I320" s="62">
        <v>76.659100970000011</v>
      </c>
      <c r="J320" s="62">
        <v>181.76900230000001</v>
      </c>
      <c r="K320" s="62">
        <v>92.465101170000011</v>
      </c>
      <c r="L320" s="49">
        <v>993.83104278785743</v>
      </c>
      <c r="M320" s="49">
        <v>1184.0615074091354</v>
      </c>
      <c r="N320" s="49">
        <v>1362.1458976797098</v>
      </c>
      <c r="O320" s="61">
        <v>14.222144221525978</v>
      </c>
      <c r="P320" s="60"/>
      <c r="Q320" s="52" t="s">
        <v>41</v>
      </c>
      <c r="R320" s="9">
        <v>6.5194552698400008</v>
      </c>
      <c r="S320" s="52" t="s">
        <v>41</v>
      </c>
      <c r="T320" s="9">
        <v>7.243839188711112</v>
      </c>
      <c r="U320" s="51" t="s">
        <v>6</v>
      </c>
      <c r="V320" s="9">
        <v>12.856999999999999</v>
      </c>
      <c r="W320" s="56" t="s">
        <v>40</v>
      </c>
      <c r="X320" s="9">
        <v>37.796368465600004</v>
      </c>
      <c r="Y320" s="56" t="s">
        <v>40</v>
      </c>
      <c r="Z320" s="9">
        <v>13.998654987259259</v>
      </c>
      <c r="AA320" s="52" t="s">
        <v>41</v>
      </c>
      <c r="AB320" s="52" t="s">
        <v>40</v>
      </c>
      <c r="AC320" s="9">
        <v>9.2417424530704224</v>
      </c>
      <c r="AD320" s="56" t="s">
        <v>41</v>
      </c>
      <c r="AE320" s="290" t="s">
        <v>182</v>
      </c>
      <c r="AF320" s="9">
        <v>8.7618919393280006</v>
      </c>
      <c r="AG320" s="52" t="s">
        <v>41</v>
      </c>
      <c r="AH320" s="52" t="s">
        <v>286</v>
      </c>
      <c r="AI320" s="9">
        <v>8.6196708657345269</v>
      </c>
      <c r="AJ320" s="51" t="s">
        <v>6</v>
      </c>
      <c r="AK320" s="56" t="s">
        <v>40</v>
      </c>
      <c r="AL320" s="9">
        <v>8.5186503818785848</v>
      </c>
      <c r="AM320" s="51" t="s">
        <v>6</v>
      </c>
      <c r="AN320" s="51" t="s">
        <v>182</v>
      </c>
      <c r="AO320" s="9">
        <v>7.8254159121217413</v>
      </c>
      <c r="AP320" s="60"/>
      <c r="AQ320" s="52" t="s">
        <v>41</v>
      </c>
      <c r="AR320" s="9">
        <v>5.7835279005280009</v>
      </c>
      <c r="AS320" s="52" t="s">
        <v>41</v>
      </c>
      <c r="AT320" s="9">
        <v>2.8917639502640005</v>
      </c>
      <c r="AU320" s="290" t="s">
        <v>6</v>
      </c>
      <c r="AV320" s="9">
        <v>4</v>
      </c>
      <c r="AW320" s="52" t="s">
        <v>40</v>
      </c>
      <c r="AX320" s="9">
        <v>48.835279005280007</v>
      </c>
      <c r="AY320" s="56" t="s">
        <v>40</v>
      </c>
      <c r="AZ320" s="9">
        <v>1.0852284223395556</v>
      </c>
      <c r="BA320" s="290" t="s">
        <v>6</v>
      </c>
      <c r="BB320" s="56" t="s">
        <v>40</v>
      </c>
      <c r="BC320" s="9">
        <v>5.3609528589504096</v>
      </c>
      <c r="BD320" s="56" t="s">
        <v>41</v>
      </c>
      <c r="BE320" s="56" t="s">
        <v>40</v>
      </c>
      <c r="BF320" s="9">
        <v>5.309843690001685</v>
      </c>
      <c r="BG320" s="56" t="s">
        <v>41</v>
      </c>
      <c r="BH320" s="51" t="s">
        <v>182</v>
      </c>
      <c r="BI320" s="9">
        <v>4.7593209118807831</v>
      </c>
      <c r="BJ320" s="52" t="s">
        <v>41</v>
      </c>
      <c r="BK320" s="56" t="s">
        <v>286</v>
      </c>
      <c r="BL320" s="9">
        <v>4.5391336813249419</v>
      </c>
      <c r="BM320" s="51" t="s">
        <v>6</v>
      </c>
      <c r="BN320" s="290" t="s">
        <v>182</v>
      </c>
      <c r="BO320" s="9">
        <v>4.5032805671754241</v>
      </c>
    </row>
    <row r="321" spans="1:67" x14ac:dyDescent="0.45">
      <c r="A321" s="10">
        <v>300</v>
      </c>
      <c r="B321" s="10" t="s">
        <v>909</v>
      </c>
      <c r="C321" s="64" t="s">
        <v>1889</v>
      </c>
      <c r="D321" s="65"/>
      <c r="E321" s="58" t="s">
        <v>1903</v>
      </c>
      <c r="F321" s="77"/>
      <c r="G321" s="77" t="s">
        <v>1888</v>
      </c>
      <c r="H321" s="10"/>
      <c r="I321" s="62">
        <v>78.239700990000003</v>
      </c>
      <c r="J321" s="62">
        <v>74.28820094000001</v>
      </c>
      <c r="K321" s="62">
        <v>120.12560152</v>
      </c>
      <c r="L321" s="49">
        <v>739.10287264506019</v>
      </c>
      <c r="M321" s="49">
        <v>787.02476611509394</v>
      </c>
      <c r="N321" s="49">
        <v>827.58994591766327</v>
      </c>
      <c r="O321" s="61">
        <v>8.3068163793921634</v>
      </c>
      <c r="P321" s="60"/>
      <c r="Q321" s="67" t="s">
        <v>14</v>
      </c>
      <c r="R321" s="9">
        <v>4.9119850495000001</v>
      </c>
      <c r="S321" s="15" t="s">
        <v>127</v>
      </c>
      <c r="T321" s="9">
        <v>6.6943820593999996</v>
      </c>
      <c r="U321" s="15" t="s">
        <v>2421</v>
      </c>
      <c r="V321" s="9">
        <v>10</v>
      </c>
      <c r="W321" s="80" t="s">
        <v>1490</v>
      </c>
      <c r="X321" s="9">
        <v>40.119850495000001</v>
      </c>
      <c r="Y321" s="290" t="s">
        <v>94</v>
      </c>
      <c r="Z321" s="9">
        <v>13.926102094423078</v>
      </c>
      <c r="AA321" s="15" t="s">
        <v>127</v>
      </c>
      <c r="AB321" s="51" t="s">
        <v>94</v>
      </c>
      <c r="AC321" s="9">
        <v>9.1683915450657896</v>
      </c>
      <c r="AD321" s="76" t="s">
        <v>14</v>
      </c>
      <c r="AE321" s="290" t="s">
        <v>94</v>
      </c>
      <c r="AF321" s="9">
        <v>8.3548251679020478</v>
      </c>
      <c r="AG321" s="15" t="s">
        <v>127</v>
      </c>
      <c r="AH321" s="71" t="s">
        <v>1490</v>
      </c>
      <c r="AI321" s="9">
        <v>7.5867794630927845</v>
      </c>
      <c r="AJ321" s="15" t="s">
        <v>127</v>
      </c>
      <c r="AK321" s="65" t="s">
        <v>1532</v>
      </c>
      <c r="AL321" s="9">
        <v>7.0090095222811062</v>
      </c>
      <c r="AM321" s="67" t="s">
        <v>14</v>
      </c>
      <c r="AN321" s="71" t="s">
        <v>1490</v>
      </c>
      <c r="AO321" s="9">
        <v>6.949346012943872</v>
      </c>
      <c r="AP321" s="60"/>
      <c r="AQ321" s="67" t="s">
        <v>14</v>
      </c>
      <c r="AR321" s="9">
        <v>4.0513483386100004</v>
      </c>
      <c r="AS321" s="15" t="s">
        <v>127</v>
      </c>
      <c r="AT321" s="9">
        <v>2.8308090031660003</v>
      </c>
      <c r="AU321" s="76" t="s">
        <v>14</v>
      </c>
      <c r="AV321" s="9">
        <v>3</v>
      </c>
      <c r="AW321" s="71" t="s">
        <v>1490</v>
      </c>
      <c r="AX321" s="9">
        <v>51.855805643500005</v>
      </c>
      <c r="AY321" s="290" t="s">
        <v>94</v>
      </c>
      <c r="AZ321" s="9">
        <v>0.93540450158300004</v>
      </c>
      <c r="BA321" s="76" t="s">
        <v>14</v>
      </c>
      <c r="BB321" s="290" t="s">
        <v>94</v>
      </c>
      <c r="BC321" s="9">
        <v>4.5583845981641513</v>
      </c>
      <c r="BD321" s="64" t="s">
        <v>127</v>
      </c>
      <c r="BE321" s="290" t="s">
        <v>94</v>
      </c>
      <c r="BF321" s="9">
        <v>4.52078654455</v>
      </c>
      <c r="BG321" s="64" t="s">
        <v>127</v>
      </c>
      <c r="BH321" s="14" t="s">
        <v>1532</v>
      </c>
      <c r="BI321" s="9">
        <v>4.2677560221993618</v>
      </c>
      <c r="BJ321" s="67" t="s">
        <v>14</v>
      </c>
      <c r="BK321" s="65" t="s">
        <v>1532</v>
      </c>
      <c r="BL321" s="9">
        <v>4.1865110306265629</v>
      </c>
      <c r="BM321" s="15" t="s">
        <v>127</v>
      </c>
      <c r="BN321" s="80" t="s">
        <v>1490</v>
      </c>
      <c r="BO321" s="9">
        <v>4.0265406285400003</v>
      </c>
    </row>
    <row r="322" spans="1:67" x14ac:dyDescent="0.45">
      <c r="A322" s="10">
        <v>301</v>
      </c>
      <c r="B322" s="10" t="s">
        <v>906</v>
      </c>
      <c r="C322" s="64" t="s">
        <v>1889</v>
      </c>
      <c r="D322" s="65"/>
      <c r="E322" s="58" t="s">
        <v>1903</v>
      </c>
      <c r="F322" s="77"/>
      <c r="G322" s="77" t="s">
        <v>1888</v>
      </c>
      <c r="H322" s="10"/>
      <c r="I322" s="62">
        <v>116.17410147000001</v>
      </c>
      <c r="J322" s="62">
        <v>112.22260142</v>
      </c>
      <c r="K322" s="62">
        <v>147.78610187000001</v>
      </c>
      <c r="L322" s="49">
        <v>1496.1195056159684</v>
      </c>
      <c r="M322" s="49">
        <v>1548.3964441911435</v>
      </c>
      <c r="N322" s="49">
        <v>1591.5301469948251</v>
      </c>
      <c r="O322" s="61">
        <v>14.911530105932172</v>
      </c>
      <c r="P322" s="60"/>
      <c r="Q322" s="14" t="s">
        <v>161</v>
      </c>
      <c r="R322" s="9">
        <v>12.617410147000001</v>
      </c>
      <c r="S322" s="14" t="s">
        <v>161</v>
      </c>
      <c r="T322" s="9">
        <v>8.4116067646666668</v>
      </c>
      <c r="U322" s="67" t="s">
        <v>14</v>
      </c>
      <c r="V322" s="9">
        <v>10</v>
      </c>
      <c r="W322" s="65" t="s">
        <v>2422</v>
      </c>
      <c r="X322" s="9">
        <v>53.278345661500005</v>
      </c>
      <c r="Y322" s="290" t="s">
        <v>94</v>
      </c>
      <c r="Z322" s="9">
        <v>20.49167140826923</v>
      </c>
      <c r="AA322" s="67" t="s">
        <v>14</v>
      </c>
      <c r="AB322" s="51" t="s">
        <v>94</v>
      </c>
      <c r="AC322" s="9">
        <v>11.987432231410819</v>
      </c>
      <c r="AD322" s="65" t="s">
        <v>161</v>
      </c>
      <c r="AE322" s="290" t="s">
        <v>94</v>
      </c>
      <c r="AF322" s="9">
        <v>11.746450865120659</v>
      </c>
      <c r="AG322" s="67" t="s">
        <v>14</v>
      </c>
      <c r="AH322" s="14" t="s">
        <v>84</v>
      </c>
      <c r="AI322" s="9">
        <v>11.532213285914207</v>
      </c>
      <c r="AJ322" s="57" t="s">
        <v>95</v>
      </c>
      <c r="AK322" s="290" t="s">
        <v>94</v>
      </c>
      <c r="AL322" s="9">
        <v>11.497601987962963</v>
      </c>
      <c r="AM322" s="14" t="s">
        <v>161</v>
      </c>
      <c r="AN322" s="14" t="s">
        <v>84</v>
      </c>
      <c r="AO322" s="9">
        <v>11.383838256562209</v>
      </c>
      <c r="AP322" s="60"/>
      <c r="AQ322" s="14" t="s">
        <v>161</v>
      </c>
      <c r="AR322" s="9">
        <v>13.082106552880001</v>
      </c>
      <c r="AS322" s="14" t="s">
        <v>161</v>
      </c>
      <c r="AT322" s="9">
        <v>4.3607021842933333</v>
      </c>
      <c r="AU322" s="76" t="s">
        <v>14</v>
      </c>
      <c r="AV322" s="9">
        <v>3</v>
      </c>
      <c r="AW322" s="14" t="s">
        <v>2491</v>
      </c>
      <c r="AX322" s="9">
        <v>68.961849359950008</v>
      </c>
      <c r="AY322" s="290" t="s">
        <v>94</v>
      </c>
      <c r="AZ322" s="9">
        <v>1.3792369871990002</v>
      </c>
      <c r="BA322" s="65" t="s">
        <v>161</v>
      </c>
      <c r="BB322" s="290" t="s">
        <v>94</v>
      </c>
      <c r="BC322" s="9">
        <v>6.8453616910493604</v>
      </c>
      <c r="BD322" s="76" t="s">
        <v>14</v>
      </c>
      <c r="BE322" s="290" t="s">
        <v>94</v>
      </c>
      <c r="BF322" s="9">
        <v>6.5123640945867933</v>
      </c>
      <c r="BG322" s="65" t="s">
        <v>161</v>
      </c>
      <c r="BH322" s="14" t="s">
        <v>1532</v>
      </c>
      <c r="BI322" s="9">
        <v>6.4670219283170214</v>
      </c>
      <c r="BJ322" s="14" t="s">
        <v>161</v>
      </c>
      <c r="BK322" s="65" t="s">
        <v>84</v>
      </c>
      <c r="BL322" s="9">
        <v>6.4446101577016135</v>
      </c>
      <c r="BM322" s="67" t="s">
        <v>14</v>
      </c>
      <c r="BN322" s="65" t="s">
        <v>1532</v>
      </c>
      <c r="BO322" s="9">
        <v>5.9587588030515626</v>
      </c>
    </row>
    <row r="323" spans="1:67" x14ac:dyDescent="0.45">
      <c r="A323" s="10">
        <v>302</v>
      </c>
      <c r="B323" s="10" t="s">
        <v>903</v>
      </c>
      <c r="C323" s="77" t="s">
        <v>2167</v>
      </c>
      <c r="D323" s="65"/>
      <c r="E323" s="65" t="s">
        <v>1894</v>
      </c>
      <c r="F323" s="58" t="s">
        <v>2184</v>
      </c>
      <c r="G323" s="64" t="s">
        <v>2148</v>
      </c>
      <c r="H323" s="10"/>
      <c r="I323" s="62">
        <v>123.28680156000001</v>
      </c>
      <c r="J323" s="62">
        <v>119.33530151000001</v>
      </c>
      <c r="K323" s="62">
        <v>120.12560152</v>
      </c>
      <c r="L323" s="49">
        <v>1476.110402567361</v>
      </c>
      <c r="M323" s="49">
        <v>1461.7756748728175</v>
      </c>
      <c r="N323" s="49">
        <v>1450.4081866007009</v>
      </c>
      <c r="O323" s="61">
        <v>12.806908579690896</v>
      </c>
      <c r="P323" s="60"/>
      <c r="Q323" s="67" t="s">
        <v>14</v>
      </c>
      <c r="R323" s="9">
        <v>8.3972080935999998</v>
      </c>
      <c r="S323" s="68" t="s">
        <v>49</v>
      </c>
      <c r="T323" s="9">
        <v>10.939267548914287</v>
      </c>
      <c r="U323" s="67" t="s">
        <v>14</v>
      </c>
      <c r="V323" s="9">
        <v>10</v>
      </c>
      <c r="W323" s="76" t="s">
        <v>30</v>
      </c>
      <c r="X323" s="9">
        <v>52.780456655200005</v>
      </c>
      <c r="Y323" s="64" t="s">
        <v>52</v>
      </c>
      <c r="Z323" s="9">
        <v>32.250271818571434</v>
      </c>
      <c r="AA323" s="68" t="s">
        <v>49</v>
      </c>
      <c r="AB323" s="67" t="s">
        <v>30</v>
      </c>
      <c r="AC323" s="9">
        <v>14.88419370517447</v>
      </c>
      <c r="AD323" s="76" t="s">
        <v>14</v>
      </c>
      <c r="AE323" s="76" t="s">
        <v>30</v>
      </c>
      <c r="AF323" s="9">
        <v>14.204516104393651</v>
      </c>
      <c r="AG323" s="68" t="s">
        <v>49</v>
      </c>
      <c r="AH323" s="15" t="s">
        <v>52</v>
      </c>
      <c r="AI323" s="9">
        <v>14.190098708692494</v>
      </c>
      <c r="AJ323" s="67" t="s">
        <v>14</v>
      </c>
      <c r="AK323" s="64" t="s">
        <v>52</v>
      </c>
      <c r="AL323" s="9">
        <v>13.308089501662074</v>
      </c>
      <c r="AM323" s="68" t="s">
        <v>49</v>
      </c>
      <c r="AN323" s="52" t="s">
        <v>1520</v>
      </c>
      <c r="AO323" s="9">
        <v>13.067990228167941</v>
      </c>
      <c r="AP323" s="60"/>
      <c r="AQ323" s="68" t="s">
        <v>2492</v>
      </c>
      <c r="AR323" s="9">
        <v>6.7698223130080013</v>
      </c>
      <c r="AS323" s="68" t="s">
        <v>2492</v>
      </c>
      <c r="AT323" s="9">
        <v>3.3849111565040007</v>
      </c>
      <c r="AU323" s="77" t="s">
        <v>49</v>
      </c>
      <c r="AV323" s="9">
        <v>4</v>
      </c>
      <c r="AW323" s="15" t="s">
        <v>52</v>
      </c>
      <c r="AX323" s="9">
        <v>105.17734731820002</v>
      </c>
      <c r="AY323" s="76" t="s">
        <v>30</v>
      </c>
      <c r="AZ323" s="9">
        <v>1.5181020811502224</v>
      </c>
      <c r="BA323" s="77" t="s">
        <v>49</v>
      </c>
      <c r="BB323" s="64" t="s">
        <v>52</v>
      </c>
      <c r="BC323" s="9">
        <v>8.8872050030821637</v>
      </c>
      <c r="BD323" s="77" t="s">
        <v>49</v>
      </c>
      <c r="BE323" s="76" t="s">
        <v>30</v>
      </c>
      <c r="BF323" s="9">
        <v>8.6852934010146949</v>
      </c>
      <c r="BG323" s="76" t="s">
        <v>14</v>
      </c>
      <c r="BH323" s="15" t="s">
        <v>52</v>
      </c>
      <c r="BI323" s="9">
        <v>7.5681619576695907</v>
      </c>
      <c r="BJ323" s="67" t="s">
        <v>14</v>
      </c>
      <c r="BK323" s="76" t="s">
        <v>30</v>
      </c>
      <c r="BL323" s="9">
        <v>7.4430163124575008</v>
      </c>
      <c r="BM323" s="68" t="s">
        <v>49</v>
      </c>
      <c r="BN323" s="56" t="s">
        <v>1520</v>
      </c>
      <c r="BO323" s="9">
        <v>7.2426752599225015</v>
      </c>
    </row>
    <row r="324" spans="1:67" x14ac:dyDescent="0.45">
      <c r="A324" s="10">
        <v>303</v>
      </c>
      <c r="B324" s="10" t="s">
        <v>901</v>
      </c>
      <c r="C324" s="59" t="s">
        <v>2168</v>
      </c>
      <c r="D324" s="65"/>
      <c r="E324" s="80" t="s">
        <v>2172</v>
      </c>
      <c r="F324" s="64" t="s">
        <v>2328</v>
      </c>
      <c r="G324" s="289" t="s">
        <v>1887</v>
      </c>
      <c r="H324" s="78" t="s">
        <v>1893</v>
      </c>
      <c r="I324" s="62">
        <v>134.35100170000001</v>
      </c>
      <c r="J324" s="62">
        <v>123.28680156000001</v>
      </c>
      <c r="K324" s="62">
        <v>120.12560152</v>
      </c>
      <c r="L324" s="49">
        <v>1634.9971102008753</v>
      </c>
      <c r="M324" s="49">
        <v>1581.9595696698507</v>
      </c>
      <c r="N324" s="49">
        <v>1540.770988585798</v>
      </c>
      <c r="O324" s="61">
        <v>13.184434443905294</v>
      </c>
      <c r="P324" s="60"/>
      <c r="Q324" s="74" t="s">
        <v>2423</v>
      </c>
      <c r="R324" s="9">
        <v>9.0610601020000008</v>
      </c>
      <c r="S324" s="70" t="s">
        <v>1512</v>
      </c>
      <c r="T324" s="9">
        <v>10.067844557777779</v>
      </c>
      <c r="U324" s="74" t="s">
        <v>1510</v>
      </c>
      <c r="V324" s="9">
        <v>13.333</v>
      </c>
      <c r="W324" s="65" t="s">
        <v>84</v>
      </c>
      <c r="X324" s="9">
        <v>73.549540918000005</v>
      </c>
      <c r="Y324" s="59" t="s">
        <v>184</v>
      </c>
      <c r="Z324" s="9">
        <v>25.982295058947372</v>
      </c>
      <c r="AA324" s="70" t="s">
        <v>1512</v>
      </c>
      <c r="AB324" s="14" t="s">
        <v>84</v>
      </c>
      <c r="AC324" s="9">
        <v>15.270518071026393</v>
      </c>
      <c r="AD324" s="76" t="s">
        <v>66</v>
      </c>
      <c r="AE324" s="65" t="s">
        <v>84</v>
      </c>
      <c r="AF324" s="9">
        <v>14.910510006065573</v>
      </c>
      <c r="AG324" s="74" t="s">
        <v>1510</v>
      </c>
      <c r="AH324" s="14" t="s">
        <v>84</v>
      </c>
      <c r="AI324" s="9">
        <v>14.466494913233083</v>
      </c>
      <c r="AJ324" s="68" t="s">
        <v>277</v>
      </c>
      <c r="AK324" s="65" t="s">
        <v>84</v>
      </c>
      <c r="AL324" s="9">
        <v>14.104556236945607</v>
      </c>
      <c r="AM324" s="70" t="s">
        <v>1512</v>
      </c>
      <c r="AN324" s="53" t="s">
        <v>184</v>
      </c>
      <c r="AO324" s="9">
        <v>14.08611112950166</v>
      </c>
      <c r="AP324" s="60"/>
      <c r="AQ324" s="74" t="s">
        <v>2423</v>
      </c>
      <c r="AR324" s="9">
        <v>7.9862520884000006</v>
      </c>
      <c r="AS324" s="67" t="s">
        <v>66</v>
      </c>
      <c r="AT324" s="9">
        <v>4.4931260442000003</v>
      </c>
      <c r="AU324" s="77" t="s">
        <v>277</v>
      </c>
      <c r="AV324" s="9">
        <v>3</v>
      </c>
      <c r="AW324" s="14" t="s">
        <v>84</v>
      </c>
      <c r="AX324" s="9">
        <v>95.314403193400011</v>
      </c>
      <c r="AY324" s="65" t="s">
        <v>84</v>
      </c>
      <c r="AZ324" s="9">
        <v>1.5885733865566669</v>
      </c>
      <c r="BA324" s="291" t="s">
        <v>1510</v>
      </c>
      <c r="BB324" s="65" t="s">
        <v>84</v>
      </c>
      <c r="BC324" s="9">
        <v>7.6459771301680011</v>
      </c>
      <c r="BD324" s="75" t="s">
        <v>1512</v>
      </c>
      <c r="BE324" s="65" t="s">
        <v>84</v>
      </c>
      <c r="BF324" s="9">
        <v>7.6459771301680011</v>
      </c>
      <c r="BG324" s="76" t="s">
        <v>66</v>
      </c>
      <c r="BH324" s="14" t="s">
        <v>84</v>
      </c>
      <c r="BI324" s="9">
        <v>7.4228446619161295</v>
      </c>
      <c r="BJ324" s="74" t="s">
        <v>1510</v>
      </c>
      <c r="BK324" s="59" t="s">
        <v>184</v>
      </c>
      <c r="BL324" s="9">
        <v>7.3437222767714294</v>
      </c>
      <c r="BM324" s="70" t="s">
        <v>1512</v>
      </c>
      <c r="BN324" s="59" t="s">
        <v>184</v>
      </c>
      <c r="BO324" s="9">
        <v>7.3437222767714294</v>
      </c>
    </row>
    <row r="325" spans="1:67" x14ac:dyDescent="0.45">
      <c r="A325" s="10">
        <v>304</v>
      </c>
      <c r="B325" s="10" t="s">
        <v>898</v>
      </c>
      <c r="C325" s="56" t="s">
        <v>2169</v>
      </c>
      <c r="D325" s="58" t="s">
        <v>2286</v>
      </c>
      <c r="E325" s="288" t="s">
        <v>1993</v>
      </c>
      <c r="F325" s="289" t="s">
        <v>2329</v>
      </c>
      <c r="G325" s="64" t="s">
        <v>2110</v>
      </c>
      <c r="H325" s="63" t="s">
        <v>1971</v>
      </c>
      <c r="I325" s="62">
        <v>107.48080136</v>
      </c>
      <c r="J325" s="62">
        <v>123.28680156000001</v>
      </c>
      <c r="K325" s="62">
        <v>120.12560152</v>
      </c>
      <c r="L325" s="49">
        <v>1307.9976881607001</v>
      </c>
      <c r="M325" s="49">
        <v>1363.2914300498546</v>
      </c>
      <c r="N325" s="49">
        <v>1409.2047138866926</v>
      </c>
      <c r="O325" s="61">
        <v>13.184434443905294</v>
      </c>
      <c r="P325" s="60"/>
      <c r="Q325" s="53" t="s">
        <v>56</v>
      </c>
      <c r="R325" s="9">
        <v>6.1590784652799995</v>
      </c>
      <c r="S325" s="53" t="s">
        <v>56</v>
      </c>
      <c r="T325" s="9">
        <v>8.7986835218285719</v>
      </c>
      <c r="U325" s="15" t="s">
        <v>2424</v>
      </c>
      <c r="V325" s="9">
        <v>10</v>
      </c>
      <c r="W325" s="56" t="s">
        <v>1488</v>
      </c>
      <c r="X325" s="9">
        <v>46.141936571199999</v>
      </c>
      <c r="Y325" s="59" t="s">
        <v>184</v>
      </c>
      <c r="Z325" s="9">
        <v>20.891099205052633</v>
      </c>
      <c r="AA325" s="53" t="s">
        <v>56</v>
      </c>
      <c r="AB325" s="53" t="s">
        <v>184</v>
      </c>
      <c r="AC325" s="9">
        <v>12.128479144745342</v>
      </c>
      <c r="AD325" s="64" t="s">
        <v>127</v>
      </c>
      <c r="AE325" s="59" t="s">
        <v>184</v>
      </c>
      <c r="AF325" s="9">
        <v>11.096128815884057</v>
      </c>
      <c r="AG325" s="53" t="s">
        <v>56</v>
      </c>
      <c r="AH325" s="52" t="s">
        <v>1488</v>
      </c>
      <c r="AI325" s="9">
        <v>10.992116363456446</v>
      </c>
      <c r="AJ325" s="53" t="s">
        <v>56</v>
      </c>
      <c r="AK325" s="64" t="s">
        <v>1480</v>
      </c>
      <c r="AL325" s="9">
        <v>10.929773008808006</v>
      </c>
      <c r="AM325" s="15" t="s">
        <v>127</v>
      </c>
      <c r="AN325" s="52" t="s">
        <v>1488</v>
      </c>
      <c r="AO325" s="9">
        <v>10.123431330634148</v>
      </c>
      <c r="AP325" s="60"/>
      <c r="AQ325" s="53" t="s">
        <v>56</v>
      </c>
      <c r="AR325" s="9">
        <v>5.1917512530400005</v>
      </c>
      <c r="AS325" s="15" t="s">
        <v>127</v>
      </c>
      <c r="AT325" s="9">
        <v>3.0958756265200003</v>
      </c>
      <c r="AU325" s="59" t="s">
        <v>56</v>
      </c>
      <c r="AV325" s="9">
        <v>3</v>
      </c>
      <c r="AW325" s="53" t="s">
        <v>2493</v>
      </c>
      <c r="AX325" s="9">
        <v>59.684517542560002</v>
      </c>
      <c r="AY325" s="64" t="s">
        <v>1480</v>
      </c>
      <c r="AZ325" s="9">
        <v>1.2262146437257144</v>
      </c>
      <c r="BA325" s="59" t="s">
        <v>56</v>
      </c>
      <c r="BB325" s="59" t="s">
        <v>184</v>
      </c>
      <c r="BC325" s="9">
        <v>5.8273081878052828</v>
      </c>
      <c r="BD325" s="59" t="s">
        <v>56</v>
      </c>
      <c r="BE325" s="64" t="s">
        <v>1480</v>
      </c>
      <c r="BF325" s="9">
        <v>5.779162750510527</v>
      </c>
      <c r="BG325" s="59" t="s">
        <v>56</v>
      </c>
      <c r="BH325" s="52" t="s">
        <v>1488</v>
      </c>
      <c r="BI325" s="9">
        <v>5.3143823844266667</v>
      </c>
      <c r="BJ325" s="15" t="s">
        <v>127</v>
      </c>
      <c r="BK325" s="59" t="s">
        <v>184</v>
      </c>
      <c r="BL325" s="9">
        <v>5.2723618540599997</v>
      </c>
      <c r="BM325" s="15" t="s">
        <v>127</v>
      </c>
      <c r="BN325" s="64" t="s">
        <v>1480</v>
      </c>
      <c r="BO325" s="9">
        <v>5.2483965402432435</v>
      </c>
    </row>
    <row r="326" spans="1:67" x14ac:dyDescent="0.45">
      <c r="A326" s="10">
        <v>305</v>
      </c>
      <c r="B326" s="10" t="s">
        <v>896</v>
      </c>
      <c r="C326" s="56" t="s">
        <v>2169</v>
      </c>
      <c r="D326" s="58" t="s">
        <v>2286</v>
      </c>
      <c r="E326" s="288" t="s">
        <v>1993</v>
      </c>
      <c r="F326" s="289" t="s">
        <v>2329</v>
      </c>
      <c r="G326" s="64" t="s">
        <v>2110</v>
      </c>
      <c r="H326" s="63" t="s">
        <v>1971</v>
      </c>
      <c r="I326" s="62">
        <v>136.72190173000001</v>
      </c>
      <c r="J326" s="62">
        <v>168.33390213000001</v>
      </c>
      <c r="K326" s="62">
        <v>134.35100170000001</v>
      </c>
      <c r="L326" s="49">
        <v>2056.1005081105914</v>
      </c>
      <c r="M326" s="49">
        <v>2122.4317162191423</v>
      </c>
      <c r="N326" s="49">
        <v>2177.0341215698581</v>
      </c>
      <c r="O326" s="61">
        <v>19.35733297647543</v>
      </c>
      <c r="P326" s="60"/>
      <c r="Q326" s="53" t="s">
        <v>1</v>
      </c>
      <c r="R326" s="9">
        <v>13.304971155700001</v>
      </c>
      <c r="S326" s="53" t="s">
        <v>1</v>
      </c>
      <c r="T326" s="9">
        <v>12.095428323363636</v>
      </c>
      <c r="U326" s="53" t="s">
        <v>56</v>
      </c>
      <c r="V326" s="9">
        <v>10</v>
      </c>
      <c r="W326" s="56" t="s">
        <v>40</v>
      </c>
      <c r="X326" s="9">
        <v>66.626512830400003</v>
      </c>
      <c r="Y326" s="59" t="s">
        <v>0</v>
      </c>
      <c r="Z326" s="9">
        <v>27.820570822190479</v>
      </c>
      <c r="AA326" s="53" t="s">
        <v>56</v>
      </c>
      <c r="AB326" s="53" t="s">
        <v>0</v>
      </c>
      <c r="AC326" s="9">
        <v>15.836920628535212</v>
      </c>
      <c r="AD326" s="59" t="s">
        <v>56</v>
      </c>
      <c r="AE326" s="56" t="s">
        <v>40</v>
      </c>
      <c r="AF326" s="9">
        <v>15.668240333298701</v>
      </c>
      <c r="AG326" s="53" t="s">
        <v>1</v>
      </c>
      <c r="AH326" s="53" t="s">
        <v>0</v>
      </c>
      <c r="AI326" s="9">
        <v>15.411921791552366</v>
      </c>
      <c r="AJ326" s="53" t="s">
        <v>1</v>
      </c>
      <c r="AK326" s="56" t="s">
        <v>40</v>
      </c>
      <c r="AL326" s="9">
        <v>15.313046652202974</v>
      </c>
      <c r="AM326" s="53" t="s">
        <v>1</v>
      </c>
      <c r="AN326" s="15" t="s">
        <v>1480</v>
      </c>
      <c r="AO326" s="9">
        <v>13.804450297881923</v>
      </c>
      <c r="AP326" s="60"/>
      <c r="AQ326" s="53" t="s">
        <v>1</v>
      </c>
      <c r="AR326" s="9">
        <v>10.597877501446002</v>
      </c>
      <c r="AS326" s="53" t="s">
        <v>1</v>
      </c>
      <c r="AT326" s="9">
        <v>3.532625833815334</v>
      </c>
      <c r="AU326" s="59" t="s">
        <v>56</v>
      </c>
      <c r="AV326" s="9">
        <v>3</v>
      </c>
      <c r="AW326" s="52" t="s">
        <v>40</v>
      </c>
      <c r="AX326" s="9">
        <v>86.31446667952001</v>
      </c>
      <c r="AY326" s="56" t="s">
        <v>40</v>
      </c>
      <c r="AZ326" s="9">
        <v>1.9180992595448891</v>
      </c>
      <c r="BA326" s="59" t="s">
        <v>56</v>
      </c>
      <c r="BB326" s="56" t="s">
        <v>40</v>
      </c>
      <c r="BC326" s="9">
        <v>8.3628514334715636</v>
      </c>
      <c r="BD326" s="59" t="s">
        <v>56</v>
      </c>
      <c r="BE326" s="59" t="s">
        <v>0</v>
      </c>
      <c r="BF326" s="9">
        <v>7.2689496079337736</v>
      </c>
      <c r="BG326" s="59" t="s">
        <v>56</v>
      </c>
      <c r="BH326" s="15" t="s">
        <v>1480</v>
      </c>
      <c r="BI326" s="9">
        <v>7.2046663935480275</v>
      </c>
      <c r="BJ326" s="53" t="s">
        <v>1</v>
      </c>
      <c r="BK326" s="56" t="s">
        <v>40</v>
      </c>
      <c r="BL326" s="9">
        <v>7.0552573591644689</v>
      </c>
      <c r="BM326" s="53" t="s">
        <v>1</v>
      </c>
      <c r="BN326" s="59" t="s">
        <v>0</v>
      </c>
      <c r="BO326" s="9">
        <v>6.3063770842293598</v>
      </c>
    </row>
    <row r="327" spans="1:67" x14ac:dyDescent="0.45">
      <c r="A327" s="10">
        <v>306</v>
      </c>
      <c r="B327" s="10" t="s">
        <v>272</v>
      </c>
      <c r="C327" s="56" t="s">
        <v>2169</v>
      </c>
      <c r="D327" s="58" t="s">
        <v>2286</v>
      </c>
      <c r="E327" s="288" t="s">
        <v>1993</v>
      </c>
      <c r="F327" s="289" t="s">
        <v>2329</v>
      </c>
      <c r="G327" s="64" t="s">
        <v>2110</v>
      </c>
      <c r="H327" s="63" t="s">
        <v>1971</v>
      </c>
      <c r="I327" s="62">
        <v>168.33390213000001</v>
      </c>
      <c r="J327" s="62">
        <v>214.96160272</v>
      </c>
      <c r="K327" s="62">
        <v>147.78610187000001</v>
      </c>
      <c r="L327" s="49">
        <v>3000.3286812184751</v>
      </c>
      <c r="M327" s="49">
        <v>3058.0462603102892</v>
      </c>
      <c r="N327" s="49">
        <v>3105.0187331643806</v>
      </c>
      <c r="O327" s="61">
        <v>26.147606020301303</v>
      </c>
      <c r="P327" s="60"/>
      <c r="Q327" s="52" t="s">
        <v>249</v>
      </c>
      <c r="R327" s="9">
        <v>17.160054604479999</v>
      </c>
      <c r="S327" s="53" t="s">
        <v>1</v>
      </c>
      <c r="T327" s="9">
        <v>14.681864719727272</v>
      </c>
      <c r="U327" s="66" t="s">
        <v>88</v>
      </c>
      <c r="V327" s="9">
        <v>8.1820000000000004</v>
      </c>
      <c r="W327" s="56" t="s">
        <v>87</v>
      </c>
      <c r="X327" s="9">
        <v>102.00034127800001</v>
      </c>
      <c r="Y327" s="56" t="s">
        <v>87</v>
      </c>
      <c r="Z327" s="9">
        <v>44.347974468695661</v>
      </c>
      <c r="AA327" s="53" t="s">
        <v>1</v>
      </c>
      <c r="AB327" s="53" t="s">
        <v>0</v>
      </c>
      <c r="AC327" s="9">
        <v>18.786287400964131</v>
      </c>
      <c r="AD327" s="56" t="s">
        <v>249</v>
      </c>
      <c r="AE327" s="59" t="s">
        <v>0</v>
      </c>
      <c r="AF327" s="9">
        <v>18.640685434645835</v>
      </c>
      <c r="AG327" s="53" t="s">
        <v>1</v>
      </c>
      <c r="AH327" s="52" t="s">
        <v>87</v>
      </c>
      <c r="AI327" s="9">
        <v>18.311229210292552</v>
      </c>
      <c r="AJ327" s="52" t="s">
        <v>249</v>
      </c>
      <c r="AK327" s="56" t="s">
        <v>87</v>
      </c>
      <c r="AL327" s="9">
        <v>18.160952577443577</v>
      </c>
      <c r="AM327" s="66" t="s">
        <v>88</v>
      </c>
      <c r="AN327" s="53" t="s">
        <v>0</v>
      </c>
      <c r="AO327" s="9">
        <v>17.950666888212449</v>
      </c>
      <c r="AP327" s="60"/>
      <c r="AQ327" s="52" t="s">
        <v>249</v>
      </c>
      <c r="AR327" s="9">
        <v>16.756053239368001</v>
      </c>
      <c r="AS327" s="52" t="s">
        <v>249</v>
      </c>
      <c r="AT327" s="9">
        <v>5.5853510797893335</v>
      </c>
      <c r="AU327" s="78" t="s">
        <v>88</v>
      </c>
      <c r="AV327" s="9">
        <v>3.3333333333333002</v>
      </c>
      <c r="AW327" s="52" t="s">
        <v>87</v>
      </c>
      <c r="AX327" s="9">
        <v>132.30044366140001</v>
      </c>
      <c r="AY327" s="56" t="s">
        <v>87</v>
      </c>
      <c r="AZ327" s="9">
        <v>2.4054626120254547</v>
      </c>
      <c r="BA327" s="56" t="s">
        <v>249</v>
      </c>
      <c r="BB327" s="56" t="s">
        <v>87</v>
      </c>
      <c r="BC327" s="9">
        <v>11.445008540210637</v>
      </c>
      <c r="BD327" s="78" t="s">
        <v>88</v>
      </c>
      <c r="BE327" s="56" t="s">
        <v>87</v>
      </c>
      <c r="BF327" s="9">
        <v>10.969250095527286</v>
      </c>
      <c r="BG327" s="56" t="s">
        <v>249</v>
      </c>
      <c r="BH327" s="51" t="s">
        <v>222</v>
      </c>
      <c r="BI327" s="9">
        <v>10.046273858713192</v>
      </c>
      <c r="BJ327" s="52" t="s">
        <v>249</v>
      </c>
      <c r="BK327" s="59" t="s">
        <v>0</v>
      </c>
      <c r="BL327" s="9">
        <v>10.00686801564709</v>
      </c>
      <c r="BM327" s="66" t="s">
        <v>88</v>
      </c>
      <c r="BN327" s="290" t="s">
        <v>222</v>
      </c>
      <c r="BO327" s="9">
        <v>9.2369597911647379</v>
      </c>
    </row>
    <row r="328" spans="1:67" x14ac:dyDescent="0.45">
      <c r="A328" s="10">
        <v>307</v>
      </c>
      <c r="B328" s="10" t="s">
        <v>891</v>
      </c>
      <c r="C328" s="58" t="s">
        <v>2170</v>
      </c>
      <c r="D328" s="65"/>
      <c r="E328" s="287" t="s">
        <v>2330</v>
      </c>
      <c r="F328" s="58" t="s">
        <v>2193</v>
      </c>
      <c r="G328" s="242"/>
      <c r="H328" s="10"/>
      <c r="I328" s="62">
        <v>73.49790093</v>
      </c>
      <c r="J328" s="62">
        <v>96.416601220000004</v>
      </c>
      <c r="K328" s="62">
        <v>92.465101170000011</v>
      </c>
      <c r="L328" s="49">
        <v>693.9685189185866</v>
      </c>
      <c r="M328" s="49">
        <v>754.40241300807145</v>
      </c>
      <c r="N328" s="49">
        <v>806.51733839695112</v>
      </c>
      <c r="O328" s="61">
        <v>8.1311891632749767</v>
      </c>
      <c r="P328" s="60"/>
      <c r="Q328" s="57" t="s">
        <v>101</v>
      </c>
      <c r="R328" s="9">
        <v>9.8197481115999992</v>
      </c>
      <c r="S328" s="57" t="s">
        <v>101</v>
      </c>
      <c r="T328" s="9">
        <v>6.1373425697499995</v>
      </c>
      <c r="U328" s="57" t="s">
        <v>101</v>
      </c>
      <c r="V328" s="9">
        <v>9.375</v>
      </c>
      <c r="W328" s="242" t="s">
        <v>58</v>
      </c>
      <c r="X328" s="9">
        <v>29.664181362699999</v>
      </c>
      <c r="Y328" s="242" t="s">
        <v>58</v>
      </c>
      <c r="Z328" s="9">
        <v>10.986733838037036</v>
      </c>
      <c r="AA328" s="57" t="s">
        <v>101</v>
      </c>
      <c r="AB328" s="57" t="s">
        <v>58</v>
      </c>
      <c r="AC328" s="9">
        <v>8.2304190851918282</v>
      </c>
      <c r="AD328" s="58" t="s">
        <v>53</v>
      </c>
      <c r="AE328" s="242" t="s">
        <v>58</v>
      </c>
      <c r="AF328" s="9">
        <v>7.8265713234644538</v>
      </c>
      <c r="AG328" s="57" t="s">
        <v>101</v>
      </c>
      <c r="AH328" s="74" t="s">
        <v>114</v>
      </c>
      <c r="AI328" s="9">
        <v>7.5512268701527487</v>
      </c>
      <c r="AJ328" s="57" t="s">
        <v>101</v>
      </c>
      <c r="AK328" s="58" t="s">
        <v>201</v>
      </c>
      <c r="AL328" s="9">
        <v>7.416505666818737</v>
      </c>
      <c r="AM328" s="55" t="s">
        <v>53</v>
      </c>
      <c r="AN328" s="74" t="s">
        <v>114</v>
      </c>
      <c r="AO328" s="9">
        <v>7.1802960713636361</v>
      </c>
      <c r="AP328" s="60"/>
      <c r="AQ328" s="57" t="s">
        <v>101</v>
      </c>
      <c r="AR328" s="9">
        <v>10.172538036064001</v>
      </c>
      <c r="AS328" s="57" t="s">
        <v>101</v>
      </c>
      <c r="AT328" s="9">
        <v>2.5431345090160002</v>
      </c>
      <c r="AU328" s="242" t="s">
        <v>101</v>
      </c>
      <c r="AV328" s="9">
        <v>3</v>
      </c>
      <c r="AW328" s="57" t="s">
        <v>58</v>
      </c>
      <c r="AX328" s="9">
        <v>41.129853907780003</v>
      </c>
      <c r="AY328" s="242" t="s">
        <v>58</v>
      </c>
      <c r="AZ328" s="9">
        <v>0.91399675350622234</v>
      </c>
      <c r="BA328" s="242" t="s">
        <v>101</v>
      </c>
      <c r="BB328" s="242" t="s">
        <v>58</v>
      </c>
      <c r="BC328" s="9">
        <v>4.9548044714387505</v>
      </c>
      <c r="BD328" s="242" t="s">
        <v>101</v>
      </c>
      <c r="BE328" s="291" t="s">
        <v>114</v>
      </c>
      <c r="BF328" s="9">
        <v>4.2686483513503495</v>
      </c>
      <c r="BG328" s="242" t="s">
        <v>101</v>
      </c>
      <c r="BH328" s="55" t="s">
        <v>201</v>
      </c>
      <c r="BI328" s="9">
        <v>4.0353352472353494</v>
      </c>
      <c r="BJ328" s="55" t="s">
        <v>53</v>
      </c>
      <c r="BK328" s="242" t="s">
        <v>58</v>
      </c>
      <c r="BL328" s="9">
        <v>3.9794989182558456</v>
      </c>
      <c r="BM328" s="55" t="s">
        <v>53</v>
      </c>
      <c r="BN328" s="291" t="s">
        <v>114</v>
      </c>
      <c r="BO328" s="9">
        <v>3.4433905739272839</v>
      </c>
    </row>
    <row r="329" spans="1:67" x14ac:dyDescent="0.45">
      <c r="A329" s="10">
        <v>308</v>
      </c>
      <c r="B329" s="10" t="s">
        <v>888</v>
      </c>
      <c r="C329" s="58" t="s">
        <v>2170</v>
      </c>
      <c r="D329" s="65"/>
      <c r="E329" s="287" t="s">
        <v>2330</v>
      </c>
      <c r="F329" s="58" t="s">
        <v>2193</v>
      </c>
      <c r="G329" s="242"/>
      <c r="H329" s="10"/>
      <c r="I329" s="62">
        <v>107.48080136</v>
      </c>
      <c r="J329" s="62">
        <v>131.98010167000001</v>
      </c>
      <c r="K329" s="62">
        <v>134.35100170000001</v>
      </c>
      <c r="L329" s="49">
        <v>1431.2173076712791</v>
      </c>
      <c r="M329" s="49">
        <v>1537.1638960258038</v>
      </c>
      <c r="N329" s="49">
        <v>1627.540679147771</v>
      </c>
      <c r="O329" s="61">
        <v>15.664284944296273</v>
      </c>
      <c r="P329" s="60"/>
      <c r="Q329" s="55" t="s">
        <v>45</v>
      </c>
      <c r="R329" s="9">
        <v>8.7386176979200005</v>
      </c>
      <c r="S329" s="55" t="s">
        <v>45</v>
      </c>
      <c r="T329" s="9">
        <v>9.7095752199111107</v>
      </c>
      <c r="U329" s="57" t="s">
        <v>1497</v>
      </c>
      <c r="V329" s="9">
        <v>13.333</v>
      </c>
      <c r="W329" s="242" t="s">
        <v>2425</v>
      </c>
      <c r="X329" s="9">
        <v>59.039632734400001</v>
      </c>
      <c r="Y329" s="58" t="s">
        <v>267</v>
      </c>
      <c r="Z329" s="9">
        <v>21.866530642370371</v>
      </c>
      <c r="AA329" s="55" t="s">
        <v>45</v>
      </c>
      <c r="AB329" s="55" t="s">
        <v>267</v>
      </c>
      <c r="AC329" s="9">
        <v>13.65237157314114</v>
      </c>
      <c r="AD329" s="58" t="s">
        <v>45</v>
      </c>
      <c r="AE329" s="242" t="s">
        <v>82</v>
      </c>
      <c r="AF329" s="9">
        <v>13.490325619750742</v>
      </c>
      <c r="AG329" s="57" t="s">
        <v>1497</v>
      </c>
      <c r="AH329" s="55" t="s">
        <v>267</v>
      </c>
      <c r="AI329" s="9">
        <v>13.246865579751937</v>
      </c>
      <c r="AJ329" s="57" t="s">
        <v>1497</v>
      </c>
      <c r="AK329" s="242" t="s">
        <v>82</v>
      </c>
      <c r="AL329" s="9">
        <v>13.044623357160306</v>
      </c>
      <c r="AM329" s="55" t="s">
        <v>45</v>
      </c>
      <c r="AN329" s="55" t="s">
        <v>44</v>
      </c>
      <c r="AO329" s="9">
        <v>12.11393869263768</v>
      </c>
      <c r="AP329" s="60"/>
      <c r="AQ329" s="55" t="s">
        <v>45</v>
      </c>
      <c r="AR329" s="9">
        <v>7.7068020048640005</v>
      </c>
      <c r="AS329" s="55" t="s">
        <v>45</v>
      </c>
      <c r="AT329" s="9">
        <v>3.8534010024320002</v>
      </c>
      <c r="AU329" s="242" t="s">
        <v>1497</v>
      </c>
      <c r="AV329" s="9">
        <v>4.5</v>
      </c>
      <c r="AW329" s="57" t="s">
        <v>2494</v>
      </c>
      <c r="AX329" s="9">
        <v>76.45152255472</v>
      </c>
      <c r="AY329" s="58" t="s">
        <v>267</v>
      </c>
      <c r="AZ329" s="9">
        <v>1.5290304510943999</v>
      </c>
      <c r="BA329" s="58" t="s">
        <v>45</v>
      </c>
      <c r="BB329" s="58" t="s">
        <v>267</v>
      </c>
      <c r="BC329" s="9">
        <v>8.6028108236097207</v>
      </c>
      <c r="BD329" s="58" t="s">
        <v>45</v>
      </c>
      <c r="BE329" s="242" t="s">
        <v>82</v>
      </c>
      <c r="BF329" s="9">
        <v>8.1968783602611968</v>
      </c>
      <c r="BG329" s="242" t="s">
        <v>1497</v>
      </c>
      <c r="BH329" s="55" t="s">
        <v>267</v>
      </c>
      <c r="BI329" s="9">
        <v>7.9249196383823861</v>
      </c>
      <c r="BJ329" s="57" t="s">
        <v>1497</v>
      </c>
      <c r="BK329" s="242" t="s">
        <v>82</v>
      </c>
      <c r="BL329" s="9">
        <v>7.4066512129647064</v>
      </c>
      <c r="BM329" s="55" t="s">
        <v>45</v>
      </c>
      <c r="BN329" s="291" t="s">
        <v>114</v>
      </c>
      <c r="BO329" s="9">
        <v>6.7154343172179312</v>
      </c>
    </row>
    <row r="330" spans="1:67" x14ac:dyDescent="0.45">
      <c r="A330" s="10">
        <v>309</v>
      </c>
      <c r="B330" s="10" t="s">
        <v>885</v>
      </c>
      <c r="C330" s="290" t="s">
        <v>1992</v>
      </c>
      <c r="D330" s="65"/>
      <c r="E330" s="80" t="s">
        <v>1892</v>
      </c>
      <c r="F330" s="287" t="s">
        <v>2211</v>
      </c>
      <c r="G330" s="242"/>
      <c r="H330" s="10"/>
      <c r="I330" s="62">
        <v>109.06140138000001</v>
      </c>
      <c r="J330" s="62">
        <v>73.49790093</v>
      </c>
      <c r="K330" s="62">
        <v>106.69050135000001</v>
      </c>
      <c r="L330" s="49">
        <v>965.76490567150609</v>
      </c>
      <c r="M330" s="49">
        <v>900.97867207593868</v>
      </c>
      <c r="N330" s="49">
        <v>852.29312075510211</v>
      </c>
      <c r="O330" s="61">
        <v>7.3046513566547322</v>
      </c>
      <c r="P330" s="60"/>
      <c r="Q330" s="15" t="s">
        <v>291</v>
      </c>
      <c r="R330" s="9">
        <v>5.3624560552</v>
      </c>
      <c r="S330" s="51" t="s">
        <v>6</v>
      </c>
      <c r="T330" s="9">
        <v>7.0374434995428574</v>
      </c>
      <c r="U330" s="51" t="s">
        <v>6</v>
      </c>
      <c r="V330" s="9">
        <v>12.856999999999999</v>
      </c>
      <c r="W330" s="290" t="s">
        <v>182</v>
      </c>
      <c r="X330" s="9">
        <v>53.349472662400004</v>
      </c>
      <c r="Y330" s="290" t="s">
        <v>182</v>
      </c>
      <c r="Z330" s="9">
        <v>21.339789064960001</v>
      </c>
      <c r="AA330" s="51" t="s">
        <v>6</v>
      </c>
      <c r="AB330" s="51" t="s">
        <v>182</v>
      </c>
      <c r="AC330" s="9">
        <v>12.634013503401741</v>
      </c>
      <c r="AD330" s="64" t="s">
        <v>291</v>
      </c>
      <c r="AE330" s="290" t="s">
        <v>182</v>
      </c>
      <c r="AF330" s="9">
        <v>12.332577375138461</v>
      </c>
      <c r="AG330" s="51" t="s">
        <v>6</v>
      </c>
      <c r="AH330" s="51" t="s">
        <v>302</v>
      </c>
      <c r="AI330" s="9">
        <v>12.131182556359274</v>
      </c>
      <c r="AJ330" s="15" t="s">
        <v>291</v>
      </c>
      <c r="AK330" s="290" t="s">
        <v>302</v>
      </c>
      <c r="AL330" s="9">
        <v>11.885574204296773</v>
      </c>
      <c r="AM330" s="51" t="s">
        <v>6</v>
      </c>
      <c r="AN330" s="15" t="s">
        <v>120</v>
      </c>
      <c r="AO330" s="9">
        <v>9.1324967808970108</v>
      </c>
      <c r="AP330" s="60"/>
      <c r="AQ330" s="15" t="s">
        <v>291</v>
      </c>
      <c r="AR330" s="9">
        <v>4.5444955448500002</v>
      </c>
      <c r="AS330" s="15" t="s">
        <v>291</v>
      </c>
      <c r="AT330" s="9">
        <v>2.2722477724250001</v>
      </c>
      <c r="AU330" s="290" t="s">
        <v>6</v>
      </c>
      <c r="AV330" s="9">
        <v>4</v>
      </c>
      <c r="AW330" s="51" t="s">
        <v>182</v>
      </c>
      <c r="AX330" s="9">
        <v>77.561103768760006</v>
      </c>
      <c r="AY330" s="290" t="s">
        <v>182</v>
      </c>
      <c r="AZ330" s="9">
        <v>1.4102018867047275</v>
      </c>
      <c r="BA330" s="290" t="s">
        <v>6</v>
      </c>
      <c r="BB330" s="290" t="s">
        <v>182</v>
      </c>
      <c r="BC330" s="9">
        <v>7.3104931772725426</v>
      </c>
      <c r="BD330" s="64" t="s">
        <v>291</v>
      </c>
      <c r="BE330" s="290" t="s">
        <v>182</v>
      </c>
      <c r="BF330" s="9">
        <v>6.7767092422911963</v>
      </c>
      <c r="BG330" s="290" t="s">
        <v>6</v>
      </c>
      <c r="BH330" s="51" t="s">
        <v>302</v>
      </c>
      <c r="BI330" s="9">
        <v>6.6170944034163277</v>
      </c>
      <c r="BJ330" s="15" t="s">
        <v>291</v>
      </c>
      <c r="BK330" s="290" t="s">
        <v>302</v>
      </c>
      <c r="BL330" s="9">
        <v>6.1707341548027843</v>
      </c>
      <c r="BM330" s="51" t="s">
        <v>6</v>
      </c>
      <c r="BN330" s="64" t="s">
        <v>120</v>
      </c>
      <c r="BO330" s="9">
        <v>5.0035672633362722</v>
      </c>
    </row>
    <row r="331" spans="1:67" x14ac:dyDescent="0.45">
      <c r="A331" s="10">
        <v>310</v>
      </c>
      <c r="B331" s="10" t="s">
        <v>281</v>
      </c>
      <c r="C331" s="290" t="s">
        <v>1992</v>
      </c>
      <c r="D331" s="65"/>
      <c r="E331" s="80" t="s">
        <v>1892</v>
      </c>
      <c r="F331" s="287" t="s">
        <v>2211</v>
      </c>
      <c r="G331" s="242"/>
      <c r="H331" s="10"/>
      <c r="I331" s="62">
        <v>181.76900230000001</v>
      </c>
      <c r="J331" s="62">
        <v>112.22260142</v>
      </c>
      <c r="K331" s="62">
        <v>147.78610187000001</v>
      </c>
      <c r="L331" s="49">
        <v>2340.8672536848485</v>
      </c>
      <c r="M331" s="49">
        <v>2086.8400652922301</v>
      </c>
      <c r="N331" s="49">
        <v>1903.6147884736433</v>
      </c>
      <c r="O331" s="61">
        <v>14.911530105932172</v>
      </c>
      <c r="P331" s="60"/>
      <c r="Q331" s="67" t="s">
        <v>20</v>
      </c>
      <c r="R331" s="9">
        <v>11.906140138000001</v>
      </c>
      <c r="S331" s="67" t="s">
        <v>20</v>
      </c>
      <c r="T331" s="9">
        <v>10.823763761818181</v>
      </c>
      <c r="U331" s="51" t="s">
        <v>74</v>
      </c>
      <c r="V331" s="9">
        <v>13.635999999999999</v>
      </c>
      <c r="W331" s="290" t="s">
        <v>222</v>
      </c>
      <c r="X331" s="9">
        <v>110.06140138000001</v>
      </c>
      <c r="Y331" s="290" t="s">
        <v>222</v>
      </c>
      <c r="Z331" s="9">
        <v>45.858917241666674</v>
      </c>
      <c r="AA331" s="67" t="s">
        <v>20</v>
      </c>
      <c r="AB331" s="51" t="s">
        <v>94</v>
      </c>
      <c r="AC331" s="9">
        <v>21.701101359824943</v>
      </c>
      <c r="AD331" s="290" t="s">
        <v>74</v>
      </c>
      <c r="AE331" s="290" t="s">
        <v>94</v>
      </c>
      <c r="AF331" s="9">
        <v>20.995473661170212</v>
      </c>
      <c r="AG331" s="67" t="s">
        <v>20</v>
      </c>
      <c r="AH331" s="51" t="s">
        <v>222</v>
      </c>
      <c r="AI331" s="9">
        <v>18.331296650357142</v>
      </c>
      <c r="AJ331" s="51" t="s">
        <v>74</v>
      </c>
      <c r="AK331" s="290" t="s">
        <v>222</v>
      </c>
      <c r="AL331" s="9">
        <v>17.637206549782174</v>
      </c>
      <c r="AM331" s="67" t="s">
        <v>20</v>
      </c>
      <c r="AN331" s="70" t="s">
        <v>280</v>
      </c>
      <c r="AO331" s="9">
        <v>16.41110632571116</v>
      </c>
      <c r="AP331" s="60"/>
      <c r="AQ331" s="51" t="s">
        <v>74</v>
      </c>
      <c r="AR331" s="9">
        <v>8.0889910897000004</v>
      </c>
      <c r="AS331" s="51" t="s">
        <v>74</v>
      </c>
      <c r="AT331" s="9">
        <v>2.6963303632333333</v>
      </c>
      <c r="AU331" s="76" t="s">
        <v>20</v>
      </c>
      <c r="AV331" s="9">
        <v>4.3333333333333002</v>
      </c>
      <c r="AW331" s="51" t="s">
        <v>222</v>
      </c>
      <c r="AX331" s="9">
        <v>142.77982179400001</v>
      </c>
      <c r="AY331" s="290" t="s">
        <v>94</v>
      </c>
      <c r="AZ331" s="9">
        <v>2.5720367922920002</v>
      </c>
      <c r="BA331" s="76" t="s">
        <v>20</v>
      </c>
      <c r="BB331" s="290" t="s">
        <v>94</v>
      </c>
      <c r="BC331" s="9">
        <v>12.375451188511043</v>
      </c>
      <c r="BD331" s="76" t="s">
        <v>20</v>
      </c>
      <c r="BE331" s="290" t="s">
        <v>222</v>
      </c>
      <c r="BF331" s="9">
        <v>11.764700714025908</v>
      </c>
      <c r="BG331" s="290" t="s">
        <v>74</v>
      </c>
      <c r="BH331" s="51" t="s">
        <v>94</v>
      </c>
      <c r="BI331" s="9">
        <v>11.298570125749068</v>
      </c>
      <c r="BJ331" s="51" t="s">
        <v>74</v>
      </c>
      <c r="BK331" s="290" t="s">
        <v>222</v>
      </c>
      <c r="BL331" s="9">
        <v>10.763965995371729</v>
      </c>
      <c r="BM331" s="67" t="s">
        <v>20</v>
      </c>
      <c r="BN331" s="75" t="s">
        <v>280</v>
      </c>
      <c r="BO331" s="9">
        <v>8.2476165180660104</v>
      </c>
    </row>
    <row r="332" spans="1:67" x14ac:dyDescent="0.45">
      <c r="A332" s="10">
        <v>311</v>
      </c>
      <c r="B332" s="10" t="s">
        <v>882</v>
      </c>
      <c r="C332" s="290" t="s">
        <v>1992</v>
      </c>
      <c r="D332" s="65"/>
      <c r="E332" s="80" t="s">
        <v>1892</v>
      </c>
      <c r="F332" s="287" t="s">
        <v>2211</v>
      </c>
      <c r="G332" s="242"/>
      <c r="H332" s="10"/>
      <c r="I332" s="62">
        <v>143.83460182000002</v>
      </c>
      <c r="J332" s="62">
        <v>113.80320144000001</v>
      </c>
      <c r="K332" s="62">
        <v>134.35100170000001</v>
      </c>
      <c r="L332" s="49">
        <v>1778.5294855900661</v>
      </c>
      <c r="M332" s="49">
        <v>1691.1125369883346</v>
      </c>
      <c r="N332" s="49">
        <v>1624.2828575153765</v>
      </c>
      <c r="O332" s="61">
        <v>13.727356942737721</v>
      </c>
      <c r="P332" s="60"/>
      <c r="Q332" s="15" t="s">
        <v>291</v>
      </c>
      <c r="R332" s="9">
        <v>6.7533840728000003</v>
      </c>
      <c r="S332" s="51" t="s">
        <v>6</v>
      </c>
      <c r="T332" s="9">
        <v>8.8257795221714286</v>
      </c>
      <c r="U332" s="51" t="s">
        <v>6</v>
      </c>
      <c r="V332" s="9">
        <v>12.856999999999999</v>
      </c>
      <c r="W332" s="290" t="s">
        <v>182</v>
      </c>
      <c r="X332" s="9">
        <v>70.040608873600007</v>
      </c>
      <c r="Y332" s="290" t="s">
        <v>182</v>
      </c>
      <c r="Z332" s="9">
        <v>28.016243549440002</v>
      </c>
      <c r="AA332" s="51" t="s">
        <v>6</v>
      </c>
      <c r="AB332" s="51" t="s">
        <v>182</v>
      </c>
      <c r="AC332" s="9">
        <v>16.335091532841741</v>
      </c>
      <c r="AD332" s="64" t="s">
        <v>291</v>
      </c>
      <c r="AE332" s="290" t="s">
        <v>182</v>
      </c>
      <c r="AF332" s="9">
        <v>15.970389113476925</v>
      </c>
      <c r="AG332" s="51" t="s">
        <v>6</v>
      </c>
      <c r="AH332" s="51" t="s">
        <v>302</v>
      </c>
      <c r="AI332" s="9">
        <v>15.704603081575275</v>
      </c>
      <c r="AJ332" s="15" t="s">
        <v>291</v>
      </c>
      <c r="AK332" s="290" t="s">
        <v>302</v>
      </c>
      <c r="AL332" s="9">
        <v>15.407762894025808</v>
      </c>
      <c r="AM332" s="51" t="s">
        <v>6</v>
      </c>
      <c r="AN332" s="15" t="s">
        <v>120</v>
      </c>
      <c r="AO332" s="9">
        <v>11.731822395182727</v>
      </c>
      <c r="AP332" s="60"/>
      <c r="AQ332" s="15" t="s">
        <v>291</v>
      </c>
      <c r="AR332" s="9">
        <v>5.6746245591500006</v>
      </c>
      <c r="AS332" s="15" t="s">
        <v>291</v>
      </c>
      <c r="AT332" s="9">
        <v>2.8373122795750003</v>
      </c>
      <c r="AU332" s="290" t="s">
        <v>6</v>
      </c>
      <c r="AV332" s="9">
        <v>4</v>
      </c>
      <c r="AW332" s="51" t="s">
        <v>182</v>
      </c>
      <c r="AX332" s="9">
        <v>101.97189047764002</v>
      </c>
      <c r="AY332" s="290" t="s">
        <v>182</v>
      </c>
      <c r="AZ332" s="9">
        <v>1.8540343723207275</v>
      </c>
      <c r="BA332" s="290" t="s">
        <v>6</v>
      </c>
      <c r="BB332" s="290" t="s">
        <v>182</v>
      </c>
      <c r="BC332" s="9">
        <v>9.4711466147816967</v>
      </c>
      <c r="BD332" s="64" t="s">
        <v>291</v>
      </c>
      <c r="BE332" s="290" t="s">
        <v>182</v>
      </c>
      <c r="BF332" s="9">
        <v>8.7684408897156416</v>
      </c>
      <c r="BG332" s="290" t="s">
        <v>6</v>
      </c>
      <c r="BH332" s="51" t="s">
        <v>302</v>
      </c>
      <c r="BI332" s="9">
        <v>8.5544584279306122</v>
      </c>
      <c r="BJ332" s="15" t="s">
        <v>291</v>
      </c>
      <c r="BK332" s="290" t="s">
        <v>302</v>
      </c>
      <c r="BL332" s="9">
        <v>7.9672897631023716</v>
      </c>
      <c r="BM332" s="51" t="s">
        <v>6</v>
      </c>
      <c r="BN332" s="64" t="s">
        <v>120</v>
      </c>
      <c r="BO332" s="9">
        <v>6.4286791050976282</v>
      </c>
    </row>
    <row r="333" spans="1:67" x14ac:dyDescent="0.45">
      <c r="A333" s="10">
        <v>312</v>
      </c>
      <c r="B333" s="10" t="s">
        <v>881</v>
      </c>
      <c r="C333" s="290" t="s">
        <v>1992</v>
      </c>
      <c r="D333" s="65"/>
      <c r="E333" s="80" t="s">
        <v>1892</v>
      </c>
      <c r="F333" s="287" t="s">
        <v>2211</v>
      </c>
      <c r="G333" s="242"/>
      <c r="H333" s="10"/>
      <c r="I333" s="62">
        <v>128.02860162000002</v>
      </c>
      <c r="J333" s="62">
        <v>130.39950165000002</v>
      </c>
      <c r="K333" s="62">
        <v>134.35100170000001</v>
      </c>
      <c r="L333" s="49">
        <v>1694.5930550584817</v>
      </c>
      <c r="M333" s="49">
        <v>1713.4938958005564</v>
      </c>
      <c r="N333" s="49">
        <v>1728.7662410689113</v>
      </c>
      <c r="O333" s="61">
        <v>15.498329256414271</v>
      </c>
      <c r="P333" s="60"/>
      <c r="Q333" s="15" t="s">
        <v>291</v>
      </c>
      <c r="R333" s="9">
        <v>6.1211440648000011</v>
      </c>
      <c r="S333" s="51" t="s">
        <v>6</v>
      </c>
      <c r="T333" s="9">
        <v>8.0128995118857151</v>
      </c>
      <c r="U333" s="51" t="s">
        <v>6</v>
      </c>
      <c r="V333" s="9">
        <v>12.856999999999999</v>
      </c>
      <c r="W333" s="290" t="s">
        <v>182</v>
      </c>
      <c r="X333" s="9">
        <v>62.453728777600006</v>
      </c>
      <c r="Y333" s="290" t="s">
        <v>182</v>
      </c>
      <c r="Z333" s="9">
        <v>24.981491511040002</v>
      </c>
      <c r="AA333" s="51" t="s">
        <v>6</v>
      </c>
      <c r="AB333" s="51" t="s">
        <v>182</v>
      </c>
      <c r="AC333" s="9">
        <v>14.652783337641742</v>
      </c>
      <c r="AD333" s="64" t="s">
        <v>291</v>
      </c>
      <c r="AE333" s="290" t="s">
        <v>182</v>
      </c>
      <c r="AF333" s="9">
        <v>14.316838323323079</v>
      </c>
      <c r="AG333" s="51" t="s">
        <v>6</v>
      </c>
      <c r="AH333" s="51" t="s">
        <v>302</v>
      </c>
      <c r="AI333" s="9">
        <v>14.080321024658911</v>
      </c>
      <c r="AJ333" s="15" t="s">
        <v>291</v>
      </c>
      <c r="AK333" s="290" t="s">
        <v>302</v>
      </c>
      <c r="AL333" s="9">
        <v>13.806768035058067</v>
      </c>
      <c r="AM333" s="51" t="s">
        <v>6</v>
      </c>
      <c r="AN333" s="15" t="s">
        <v>120</v>
      </c>
      <c r="AO333" s="9">
        <v>10.550310752325585</v>
      </c>
      <c r="AP333" s="60"/>
      <c r="AQ333" s="15" t="s">
        <v>291</v>
      </c>
      <c r="AR333" s="9">
        <v>5.1609295526500008</v>
      </c>
      <c r="AS333" s="15" t="s">
        <v>291</v>
      </c>
      <c r="AT333" s="9">
        <v>2.5804647763250004</v>
      </c>
      <c r="AU333" s="290" t="s">
        <v>6</v>
      </c>
      <c r="AV333" s="9">
        <v>4</v>
      </c>
      <c r="AW333" s="51" t="s">
        <v>182</v>
      </c>
      <c r="AX333" s="9">
        <v>90.876078337240017</v>
      </c>
      <c r="AY333" s="290" t="s">
        <v>182</v>
      </c>
      <c r="AZ333" s="9">
        <v>1.652292333404364</v>
      </c>
      <c r="BA333" s="290" t="s">
        <v>6</v>
      </c>
      <c r="BB333" s="290" t="s">
        <v>182</v>
      </c>
      <c r="BC333" s="9">
        <v>8.4890314159138995</v>
      </c>
      <c r="BD333" s="64" t="s">
        <v>291</v>
      </c>
      <c r="BE333" s="290" t="s">
        <v>182</v>
      </c>
      <c r="BF333" s="9">
        <v>7.8631083227045311</v>
      </c>
      <c r="BG333" s="290" t="s">
        <v>6</v>
      </c>
      <c r="BH333" s="51" t="s">
        <v>302</v>
      </c>
      <c r="BI333" s="9">
        <v>7.6738384167877562</v>
      </c>
      <c r="BJ333" s="15" t="s">
        <v>291</v>
      </c>
      <c r="BK333" s="290" t="s">
        <v>302</v>
      </c>
      <c r="BL333" s="9">
        <v>7.1506735775116512</v>
      </c>
      <c r="BM333" s="51" t="s">
        <v>6</v>
      </c>
      <c r="BN333" s="64" t="s">
        <v>120</v>
      </c>
      <c r="BO333" s="9">
        <v>5.7809009952061023</v>
      </c>
    </row>
    <row r="334" spans="1:67" x14ac:dyDescent="0.45">
      <c r="A334" s="10">
        <v>313</v>
      </c>
      <c r="B334" s="10" t="s">
        <v>128</v>
      </c>
      <c r="C334" s="289" t="s">
        <v>1887</v>
      </c>
      <c r="D334" s="65"/>
      <c r="E334" s="287" t="s">
        <v>2203</v>
      </c>
      <c r="F334" s="58" t="s">
        <v>2204</v>
      </c>
      <c r="G334" s="242"/>
      <c r="H334" s="10"/>
      <c r="I334" s="62">
        <v>124.86740158000001</v>
      </c>
      <c r="J334" s="62">
        <v>143.04430181000001</v>
      </c>
      <c r="K334" s="62">
        <v>140.67340178000001</v>
      </c>
      <c r="L334" s="49">
        <v>1771.2927719022889</v>
      </c>
      <c r="M334" s="49">
        <v>1848.2232006735856</v>
      </c>
      <c r="N334" s="49">
        <v>1912.166350502197</v>
      </c>
      <c r="O334" s="61">
        <v>17.604329516357222</v>
      </c>
      <c r="P334" s="60"/>
      <c r="Q334" s="69" t="s">
        <v>1523</v>
      </c>
      <c r="R334" s="9">
        <v>12.238066142200001</v>
      </c>
      <c r="S334" s="15" t="s">
        <v>127</v>
      </c>
      <c r="T334" s="9">
        <v>8.243370079</v>
      </c>
      <c r="U334" s="15" t="s">
        <v>2426</v>
      </c>
      <c r="V334" s="9">
        <v>10</v>
      </c>
      <c r="W334" s="289" t="s">
        <v>126</v>
      </c>
      <c r="X334" s="9">
        <v>68.428396853199999</v>
      </c>
      <c r="Y334" s="290" t="s">
        <v>182</v>
      </c>
      <c r="Z334" s="9">
        <v>20.378784252799999</v>
      </c>
      <c r="AA334" s="15" t="s">
        <v>127</v>
      </c>
      <c r="AB334" s="69" t="s">
        <v>126</v>
      </c>
      <c r="AC334" s="9">
        <v>12.602901982551725</v>
      </c>
      <c r="AD334" s="289" t="s">
        <v>1523</v>
      </c>
      <c r="AE334" s="289" t="s">
        <v>126</v>
      </c>
      <c r="AF334" s="9">
        <v>12.554247202360152</v>
      </c>
      <c r="AG334" s="15" t="s">
        <v>127</v>
      </c>
      <c r="AH334" s="69" t="s">
        <v>1534</v>
      </c>
      <c r="AI334" s="9">
        <v>12.456605203291138</v>
      </c>
      <c r="AJ334" s="69" t="s">
        <v>1523</v>
      </c>
      <c r="AK334" s="289" t="s">
        <v>1534</v>
      </c>
      <c r="AL334" s="9">
        <v>12.403023356751055</v>
      </c>
      <c r="AM334" s="15" t="s">
        <v>127</v>
      </c>
      <c r="AN334" s="51" t="s">
        <v>182</v>
      </c>
      <c r="AO334" s="9">
        <v>12.288508136933332</v>
      </c>
      <c r="AP334" s="60"/>
      <c r="AQ334" s="69" t="s">
        <v>1523</v>
      </c>
      <c r="AR334" s="9">
        <v>9.7656915909160009</v>
      </c>
      <c r="AS334" s="15" t="s">
        <v>127</v>
      </c>
      <c r="AT334" s="9">
        <v>3.4349143308100003</v>
      </c>
      <c r="AU334" s="289" t="s">
        <v>1523</v>
      </c>
      <c r="AV334" s="9">
        <v>2.6666666666666998</v>
      </c>
      <c r="AW334" s="69" t="s">
        <v>126</v>
      </c>
      <c r="AX334" s="9">
        <v>88.656915909160006</v>
      </c>
      <c r="AY334" s="289" t="s">
        <v>126</v>
      </c>
      <c r="AZ334" s="9">
        <v>1.4776152651526668</v>
      </c>
      <c r="BA334" s="289" t="s">
        <v>1523</v>
      </c>
      <c r="BB334" s="289" t="s">
        <v>126</v>
      </c>
      <c r="BC334" s="9">
        <v>6.889344801745958</v>
      </c>
      <c r="BD334" s="289" t="s">
        <v>1523</v>
      </c>
      <c r="BE334" s="290" t="s">
        <v>182</v>
      </c>
      <c r="BF334" s="9">
        <v>6.5288582479467054</v>
      </c>
      <c r="BG334" s="289" t="s">
        <v>1523</v>
      </c>
      <c r="BH334" s="69" t="s">
        <v>1534</v>
      </c>
      <c r="BI334" s="9">
        <v>6.5288582479467054</v>
      </c>
      <c r="BJ334" s="15" t="s">
        <v>127</v>
      </c>
      <c r="BK334" s="289" t="s">
        <v>126</v>
      </c>
      <c r="BL334" s="9">
        <v>6.1840111559180651</v>
      </c>
      <c r="BM334" s="15" t="s">
        <v>127</v>
      </c>
      <c r="BN334" s="290" t="s">
        <v>182</v>
      </c>
      <c r="BO334" s="9">
        <v>5.9125464568973687</v>
      </c>
    </row>
    <row r="335" spans="1:67" x14ac:dyDescent="0.45">
      <c r="A335" s="10">
        <v>314</v>
      </c>
      <c r="B335" s="10" t="s">
        <v>879</v>
      </c>
      <c r="C335" s="289" t="s">
        <v>1887</v>
      </c>
      <c r="D335" s="65"/>
      <c r="E335" s="287" t="s">
        <v>2203</v>
      </c>
      <c r="F335" s="58" t="s">
        <v>2204</v>
      </c>
      <c r="G335" s="242"/>
      <c r="H335" s="10"/>
      <c r="I335" s="62">
        <v>124.86740158000001</v>
      </c>
      <c r="J335" s="62">
        <v>143.04430181000001</v>
      </c>
      <c r="K335" s="62">
        <v>140.67340178000001</v>
      </c>
      <c r="L335" s="49">
        <v>1771.2927719022889</v>
      </c>
      <c r="M335" s="49">
        <v>1848.2232006735856</v>
      </c>
      <c r="N335" s="49">
        <v>1912.166350502197</v>
      </c>
      <c r="O335" s="61">
        <v>17.604329516357222</v>
      </c>
      <c r="P335" s="60"/>
      <c r="Q335" s="69" t="s">
        <v>1523</v>
      </c>
      <c r="R335" s="9">
        <v>12.238066142200001</v>
      </c>
      <c r="S335" s="15" t="s">
        <v>127</v>
      </c>
      <c r="T335" s="9">
        <v>8.243370079</v>
      </c>
      <c r="U335" s="15" t="s">
        <v>2426</v>
      </c>
      <c r="V335" s="9">
        <v>10</v>
      </c>
      <c r="W335" s="289" t="s">
        <v>126</v>
      </c>
      <c r="X335" s="9">
        <v>68.428396853199999</v>
      </c>
      <c r="Y335" s="289" t="s">
        <v>126</v>
      </c>
      <c r="Z335" s="9">
        <v>18.494161311675676</v>
      </c>
      <c r="AA335" s="15" t="s">
        <v>127</v>
      </c>
      <c r="AB335" s="69" t="s">
        <v>126</v>
      </c>
      <c r="AC335" s="9">
        <v>12.602901982551725</v>
      </c>
      <c r="AD335" s="289" t="s">
        <v>1523</v>
      </c>
      <c r="AE335" s="289" t="s">
        <v>126</v>
      </c>
      <c r="AF335" s="9">
        <v>12.554247202360152</v>
      </c>
      <c r="AG335" s="15" t="s">
        <v>127</v>
      </c>
      <c r="AH335" s="14" t="s">
        <v>63</v>
      </c>
      <c r="AI335" s="9">
        <v>12.311829551176471</v>
      </c>
      <c r="AJ335" s="69" t="s">
        <v>1523</v>
      </c>
      <c r="AK335" s="65" t="s">
        <v>63</v>
      </c>
      <c r="AL335" s="9">
        <v>12.262029952627453</v>
      </c>
      <c r="AM335" s="15" t="s">
        <v>127</v>
      </c>
      <c r="AN335" s="69" t="s">
        <v>1509</v>
      </c>
      <c r="AO335" s="9">
        <v>11.50552733558294</v>
      </c>
      <c r="AP335" s="60"/>
      <c r="AQ335" s="69" t="s">
        <v>1523</v>
      </c>
      <c r="AR335" s="9">
        <v>9.7656915909160009</v>
      </c>
      <c r="AS335" s="15" t="s">
        <v>127</v>
      </c>
      <c r="AT335" s="9">
        <v>3.4349143308100003</v>
      </c>
      <c r="AU335" s="289" t="s">
        <v>1523</v>
      </c>
      <c r="AV335" s="9">
        <v>2.6666666666666998</v>
      </c>
      <c r="AW335" s="14" t="s">
        <v>63</v>
      </c>
      <c r="AX335" s="9">
        <v>90.280192129700012</v>
      </c>
      <c r="AY335" s="289" t="s">
        <v>1509</v>
      </c>
      <c r="AZ335" s="9">
        <v>1.5372800280595555</v>
      </c>
      <c r="BA335" s="289" t="s">
        <v>1523</v>
      </c>
      <c r="BB335" s="289" t="s">
        <v>1509</v>
      </c>
      <c r="BC335" s="9">
        <v>6.9431953265220985</v>
      </c>
      <c r="BD335" s="289" t="s">
        <v>1523</v>
      </c>
      <c r="BE335" s="289" t="s">
        <v>126</v>
      </c>
      <c r="BF335" s="9">
        <v>6.889344801745958</v>
      </c>
      <c r="BG335" s="289" t="s">
        <v>1523</v>
      </c>
      <c r="BH335" s="14" t="s">
        <v>63</v>
      </c>
      <c r="BI335" s="9">
        <v>6.4488071027601848</v>
      </c>
      <c r="BJ335" s="15" t="s">
        <v>127</v>
      </c>
      <c r="BK335" s="289" t="s">
        <v>1509</v>
      </c>
      <c r="BL335" s="9">
        <v>6.2324754768470214</v>
      </c>
      <c r="BM335" s="15" t="s">
        <v>127</v>
      </c>
      <c r="BN335" s="289" t="s">
        <v>126</v>
      </c>
      <c r="BO335" s="9">
        <v>6.1840111559180651</v>
      </c>
    </row>
    <row r="336" spans="1:67" x14ac:dyDescent="0.45">
      <c r="A336" s="10">
        <v>315</v>
      </c>
      <c r="B336" s="10" t="s">
        <v>65</v>
      </c>
      <c r="C336" s="63" t="s">
        <v>2106</v>
      </c>
      <c r="D336" s="65"/>
      <c r="E336" s="287" t="s">
        <v>2196</v>
      </c>
      <c r="F336" s="58" t="s">
        <v>2197</v>
      </c>
      <c r="G336" s="79" t="s">
        <v>1983</v>
      </c>
      <c r="H336" s="10"/>
      <c r="I336" s="62">
        <v>158.85030201000001</v>
      </c>
      <c r="J336" s="62">
        <v>115.38380146</v>
      </c>
      <c r="K336" s="62">
        <v>120.12560152</v>
      </c>
      <c r="L336" s="49">
        <v>1870.1578052207565</v>
      </c>
      <c r="M336" s="49">
        <v>1692.4362115423762</v>
      </c>
      <c r="N336" s="49">
        <v>1562.4982975433486</v>
      </c>
      <c r="O336" s="61">
        <v>12.426707773506987</v>
      </c>
      <c r="P336" s="60"/>
      <c r="Q336" s="72" t="s">
        <v>64</v>
      </c>
      <c r="R336" s="9">
        <v>13.39032355678</v>
      </c>
      <c r="S336" s="72" t="s">
        <v>64</v>
      </c>
      <c r="T336" s="9">
        <v>13.39032355678</v>
      </c>
      <c r="U336" s="54" t="s">
        <v>171</v>
      </c>
      <c r="V336" s="9">
        <v>8.75</v>
      </c>
      <c r="W336" s="79" t="s">
        <v>103</v>
      </c>
      <c r="X336" s="9">
        <v>105.84119932660001</v>
      </c>
      <c r="Y336" s="79" t="s">
        <v>103</v>
      </c>
      <c r="Z336" s="9">
        <v>40.708153587153845</v>
      </c>
      <c r="AA336" s="54" t="s">
        <v>171</v>
      </c>
      <c r="AB336" s="54" t="s">
        <v>124</v>
      </c>
      <c r="AC336" s="9">
        <v>19.024740120919788</v>
      </c>
      <c r="AD336" s="79" t="s">
        <v>64</v>
      </c>
      <c r="AE336" s="63" t="s">
        <v>124</v>
      </c>
      <c r="AF336" s="9">
        <v>18.30942802711952</v>
      </c>
      <c r="AG336" s="54" t="s">
        <v>171</v>
      </c>
      <c r="AH336" s="72" t="s">
        <v>103</v>
      </c>
      <c r="AI336" s="9">
        <v>18.068936379150685</v>
      </c>
      <c r="AJ336" s="72" t="s">
        <v>64</v>
      </c>
      <c r="AK336" s="79" t="s">
        <v>103</v>
      </c>
      <c r="AL336" s="9">
        <v>17.425912083994319</v>
      </c>
      <c r="AM336" s="54" t="s">
        <v>171</v>
      </c>
      <c r="AN336" s="14" t="s">
        <v>63</v>
      </c>
      <c r="AO336" s="9">
        <v>16.891890900232557</v>
      </c>
      <c r="AP336" s="60"/>
      <c r="AQ336" s="72" t="s">
        <v>64</v>
      </c>
      <c r="AR336" s="9">
        <v>14.629355912458001</v>
      </c>
      <c r="AS336" s="72" t="s">
        <v>64</v>
      </c>
      <c r="AT336" s="9">
        <v>7.3146779562290005</v>
      </c>
      <c r="AU336" s="63" t="s">
        <v>171</v>
      </c>
      <c r="AV336" s="9">
        <v>3.5</v>
      </c>
      <c r="AW336" s="72" t="s">
        <v>103</v>
      </c>
      <c r="AX336" s="9">
        <v>137.29355912458001</v>
      </c>
      <c r="AY336" s="79" t="s">
        <v>103</v>
      </c>
      <c r="AZ336" s="9">
        <v>2.1122086019166155</v>
      </c>
      <c r="BA336" s="79" t="s">
        <v>64</v>
      </c>
      <c r="BB336" s="79" t="s">
        <v>103</v>
      </c>
      <c r="BC336" s="9">
        <v>11.19464455826933</v>
      </c>
      <c r="BD336" s="63" t="s">
        <v>171</v>
      </c>
      <c r="BE336" s="79" t="s">
        <v>103</v>
      </c>
      <c r="BF336" s="9">
        <v>11.01662432544876</v>
      </c>
      <c r="BG336" s="79" t="s">
        <v>64</v>
      </c>
      <c r="BH336" s="54" t="s">
        <v>124</v>
      </c>
      <c r="BI336" s="9">
        <v>10.884212975383271</v>
      </c>
      <c r="BJ336" s="54" t="s">
        <v>171</v>
      </c>
      <c r="BK336" s="63" t="s">
        <v>124</v>
      </c>
      <c r="BL336" s="9">
        <v>10.491288092365235</v>
      </c>
      <c r="BM336" s="72" t="s">
        <v>64</v>
      </c>
      <c r="BN336" s="65" t="s">
        <v>63</v>
      </c>
      <c r="BO336" s="9">
        <v>10.294213733476806</v>
      </c>
    </row>
    <row r="337" spans="1:67" x14ac:dyDescent="0.45">
      <c r="A337" s="10">
        <v>316</v>
      </c>
      <c r="B337" s="10" t="s">
        <v>875</v>
      </c>
      <c r="C337" s="63" t="s">
        <v>1971</v>
      </c>
      <c r="D337" s="65"/>
      <c r="E337" s="80" t="s">
        <v>2175</v>
      </c>
      <c r="F337" s="58" t="s">
        <v>2210</v>
      </c>
      <c r="G337" s="242"/>
      <c r="H337" s="10"/>
      <c r="I337" s="62">
        <v>75.078500950000006</v>
      </c>
      <c r="J337" s="62">
        <v>90.09420114000001</v>
      </c>
      <c r="K337" s="62">
        <v>147.78610187000001</v>
      </c>
      <c r="L337" s="49">
        <v>866.32492389561594</v>
      </c>
      <c r="M337" s="49">
        <v>999.76366828540301</v>
      </c>
      <c r="N337" s="49">
        <v>1121.1677147475657</v>
      </c>
      <c r="O337" s="61">
        <v>12.214238708588743</v>
      </c>
      <c r="P337" s="60"/>
      <c r="Q337" s="55" t="s">
        <v>53</v>
      </c>
      <c r="R337" s="9">
        <v>6.6308875712500006</v>
      </c>
      <c r="S337" s="15" t="s">
        <v>288</v>
      </c>
      <c r="T337" s="9">
        <v>6.0462458887500006</v>
      </c>
      <c r="U337" s="15" t="s">
        <v>288</v>
      </c>
      <c r="V337" s="9">
        <v>10</v>
      </c>
      <c r="W337" s="63" t="s">
        <v>251</v>
      </c>
      <c r="X337" s="9">
        <v>59.561230741000003</v>
      </c>
      <c r="Y337" s="63" t="s">
        <v>251</v>
      </c>
      <c r="Z337" s="9">
        <v>19.213300239032257</v>
      </c>
      <c r="AA337" s="15" t="s">
        <v>288</v>
      </c>
      <c r="AB337" s="54" t="s">
        <v>251</v>
      </c>
      <c r="AC337" s="9">
        <v>9.115258556860903</v>
      </c>
      <c r="AD337" s="64" t="s">
        <v>288</v>
      </c>
      <c r="AE337" s="63" t="s">
        <v>1533</v>
      </c>
      <c r="AF337" s="9">
        <v>8.0388410884969339</v>
      </c>
      <c r="AG337" s="15" t="s">
        <v>288</v>
      </c>
      <c r="AH337" s="74" t="s">
        <v>189</v>
      </c>
      <c r="AI337" s="9">
        <v>7.8333198640060244</v>
      </c>
      <c r="AJ337" s="55" t="s">
        <v>53</v>
      </c>
      <c r="AK337" s="63" t="s">
        <v>251</v>
      </c>
      <c r="AL337" s="9">
        <v>7.8180190343788825</v>
      </c>
      <c r="AM337" s="55" t="s">
        <v>53</v>
      </c>
      <c r="AN337" s="54" t="s">
        <v>1533</v>
      </c>
      <c r="AO337" s="9">
        <v>7.0922034490932644</v>
      </c>
      <c r="AP337" s="60"/>
      <c r="AQ337" s="55" t="s">
        <v>53</v>
      </c>
      <c r="AR337" s="9">
        <v>5.3920923055750007</v>
      </c>
      <c r="AS337" s="55" t="s">
        <v>53</v>
      </c>
      <c r="AT337" s="9">
        <v>1.7973641018583335</v>
      </c>
      <c r="AU337" s="58" t="s">
        <v>53</v>
      </c>
      <c r="AV337" s="9">
        <v>2.3333333333333002</v>
      </c>
      <c r="AW337" s="54" t="s">
        <v>251</v>
      </c>
      <c r="AX337" s="9">
        <v>77.129599963300009</v>
      </c>
      <c r="AY337" s="63" t="s">
        <v>251</v>
      </c>
      <c r="AZ337" s="9">
        <v>1.0283946661773335</v>
      </c>
      <c r="BA337" s="58" t="s">
        <v>53</v>
      </c>
      <c r="BB337" s="63" t="s">
        <v>251</v>
      </c>
      <c r="BC337" s="9">
        <v>4.0703194942294187</v>
      </c>
      <c r="BD337" s="64" t="s">
        <v>288</v>
      </c>
      <c r="BE337" s="63" t="s">
        <v>251</v>
      </c>
      <c r="BF337" s="9">
        <v>3.6787158825897732</v>
      </c>
      <c r="BG337" s="58" t="s">
        <v>53</v>
      </c>
      <c r="BH337" s="74" t="s">
        <v>189</v>
      </c>
      <c r="BI337" s="9">
        <v>3.5523926639353203</v>
      </c>
      <c r="BJ337" s="55" t="s">
        <v>53</v>
      </c>
      <c r="BK337" s="63" t="s">
        <v>1533</v>
      </c>
      <c r="BL337" s="9">
        <v>3.3673070851692919</v>
      </c>
      <c r="BM337" s="15" t="s">
        <v>288</v>
      </c>
      <c r="BN337" s="291" t="s">
        <v>189</v>
      </c>
      <c r="BO337" s="9">
        <v>3.2358466023782895</v>
      </c>
    </row>
    <row r="338" spans="1:67" x14ac:dyDescent="0.45">
      <c r="A338" s="10">
        <v>317</v>
      </c>
      <c r="B338" s="10" t="s">
        <v>125</v>
      </c>
      <c r="C338" s="63" t="s">
        <v>1971</v>
      </c>
      <c r="D338" s="65"/>
      <c r="E338" s="80" t="s">
        <v>2175</v>
      </c>
      <c r="F338" s="58" t="s">
        <v>2210</v>
      </c>
      <c r="G338" s="242"/>
      <c r="H338" s="10"/>
      <c r="I338" s="62">
        <v>122.49650155</v>
      </c>
      <c r="J338" s="62">
        <v>137.51220174000002</v>
      </c>
      <c r="K338" s="62">
        <v>189.67200240000003</v>
      </c>
      <c r="L338" s="49">
        <v>1978.3171597177472</v>
      </c>
      <c r="M338" s="49">
        <v>2169.2624582134313</v>
      </c>
      <c r="N338" s="49">
        <v>2335.2051842510919</v>
      </c>
      <c r="O338" s="61">
        <v>22.929173523204245</v>
      </c>
      <c r="P338" s="60"/>
      <c r="Q338" s="55" t="s">
        <v>53</v>
      </c>
      <c r="R338" s="9">
        <v>10.18723761625</v>
      </c>
      <c r="S338" s="55" t="s">
        <v>53</v>
      </c>
      <c r="T338" s="9">
        <v>7.8363366278846147</v>
      </c>
      <c r="U338" s="69" t="s">
        <v>10</v>
      </c>
      <c r="V338" s="9">
        <v>12.727</v>
      </c>
      <c r="W338" s="63" t="s">
        <v>251</v>
      </c>
      <c r="X338" s="9">
        <v>96.547271209000002</v>
      </c>
      <c r="Y338" s="63" t="s">
        <v>251</v>
      </c>
      <c r="Z338" s="9">
        <v>31.144281035161288</v>
      </c>
      <c r="AA338" s="69" t="s">
        <v>10</v>
      </c>
      <c r="AB338" s="54" t="s">
        <v>124</v>
      </c>
      <c r="AC338" s="9">
        <v>13.685983306089451</v>
      </c>
      <c r="AD338" s="289" t="s">
        <v>10</v>
      </c>
      <c r="AE338" s="63" t="s">
        <v>251</v>
      </c>
      <c r="AF338" s="9">
        <v>12.903014439411766</v>
      </c>
      <c r="AG338" s="55" t="s">
        <v>53</v>
      </c>
      <c r="AH338" s="54" t="s">
        <v>124</v>
      </c>
      <c r="AI338" s="9">
        <v>12.583466911960226</v>
      </c>
      <c r="AJ338" s="55" t="s">
        <v>53</v>
      </c>
      <c r="AK338" s="63" t="s">
        <v>251</v>
      </c>
      <c r="AL338" s="9">
        <v>12.324201700093166</v>
      </c>
      <c r="AM338" s="69" t="s">
        <v>10</v>
      </c>
      <c r="AN338" s="74" t="s">
        <v>189</v>
      </c>
      <c r="AO338" s="9">
        <v>11.284280767193676</v>
      </c>
      <c r="AP338" s="60"/>
      <c r="AQ338" s="55" t="s">
        <v>53</v>
      </c>
      <c r="AR338" s="9">
        <v>8.1660453406749998</v>
      </c>
      <c r="AS338" s="55" t="s">
        <v>53</v>
      </c>
      <c r="AT338" s="9">
        <v>2.7220151135583333</v>
      </c>
      <c r="AU338" s="289" t="s">
        <v>10</v>
      </c>
      <c r="AV338" s="9">
        <v>3.6666666666666998</v>
      </c>
      <c r="AW338" s="54" t="s">
        <v>251</v>
      </c>
      <c r="AX338" s="9">
        <v>125.21145257170001</v>
      </c>
      <c r="AY338" s="63" t="s">
        <v>251</v>
      </c>
      <c r="AZ338" s="9">
        <v>1.6694860342893334</v>
      </c>
      <c r="BA338" s="289" t="s">
        <v>10</v>
      </c>
      <c r="BB338" s="63" t="s">
        <v>251</v>
      </c>
      <c r="BC338" s="9">
        <v>7.672153581874789</v>
      </c>
      <c r="BD338" s="289" t="s">
        <v>10</v>
      </c>
      <c r="BE338" s="63" t="s">
        <v>124</v>
      </c>
      <c r="BF338" s="9">
        <v>7.0849948115633552</v>
      </c>
      <c r="BG338" s="58" t="s">
        <v>53</v>
      </c>
      <c r="BH338" s="54" t="s">
        <v>251</v>
      </c>
      <c r="BI338" s="9">
        <v>6.4178171058298501</v>
      </c>
      <c r="BJ338" s="69" t="s">
        <v>10</v>
      </c>
      <c r="BK338" s="291" t="s">
        <v>189</v>
      </c>
      <c r="BL338" s="9">
        <v>6.346704450562501</v>
      </c>
      <c r="BM338" s="55" t="s">
        <v>53</v>
      </c>
      <c r="BN338" s="63" t="s">
        <v>124</v>
      </c>
      <c r="BO338" s="9">
        <v>6.0532929032111458</v>
      </c>
    </row>
    <row r="339" spans="1:67" x14ac:dyDescent="0.45">
      <c r="A339" s="10">
        <v>318</v>
      </c>
      <c r="B339" s="10" t="s">
        <v>870</v>
      </c>
      <c r="C339" s="288" t="s">
        <v>2171</v>
      </c>
      <c r="D339" s="65"/>
      <c r="E339" s="58" t="s">
        <v>2331</v>
      </c>
      <c r="F339" s="77" t="s">
        <v>2332</v>
      </c>
      <c r="G339" s="242" t="s">
        <v>1925</v>
      </c>
      <c r="H339" s="10"/>
      <c r="I339" s="62">
        <v>146.99580186</v>
      </c>
      <c r="J339" s="62">
        <v>42.676200540000004</v>
      </c>
      <c r="K339" s="62">
        <v>113.01290143000001</v>
      </c>
      <c r="L339" s="49">
        <v>1020.8497287739403</v>
      </c>
      <c r="M339" s="49">
        <v>795.08300270976054</v>
      </c>
      <c r="N339" s="49">
        <v>650.98801097309206</v>
      </c>
      <c r="O339" s="61">
        <v>4.6255599221849808</v>
      </c>
      <c r="P339" s="60"/>
      <c r="Q339" s="67" t="s">
        <v>20</v>
      </c>
      <c r="R339" s="9">
        <v>11.583697733919999</v>
      </c>
      <c r="S339" s="67" t="s">
        <v>66</v>
      </c>
      <c r="T339" s="9">
        <v>12.583697733919999</v>
      </c>
      <c r="U339" s="67" t="s">
        <v>20</v>
      </c>
      <c r="V339" s="9">
        <v>12.727</v>
      </c>
      <c r="W339" s="76" t="s">
        <v>91</v>
      </c>
      <c r="X339" s="9">
        <v>62.738236781200001</v>
      </c>
      <c r="Y339" s="76" t="s">
        <v>91</v>
      </c>
      <c r="Z339" s="9">
        <v>19.605698994125</v>
      </c>
      <c r="AA339" s="67" t="s">
        <v>66</v>
      </c>
      <c r="AB339" s="67" t="s">
        <v>91</v>
      </c>
      <c r="AC339" s="9">
        <v>15.633978824325791</v>
      </c>
      <c r="AD339" s="76" t="s">
        <v>20</v>
      </c>
      <c r="AE339" s="76" t="s">
        <v>91</v>
      </c>
      <c r="AF339" s="9">
        <v>15.521177243054009</v>
      </c>
      <c r="AG339" s="67" t="s">
        <v>66</v>
      </c>
      <c r="AH339" s="73" t="s">
        <v>1519</v>
      </c>
      <c r="AI339" s="9">
        <v>13.761715329093594</v>
      </c>
      <c r="AJ339" s="67" t="s">
        <v>66</v>
      </c>
      <c r="AK339" s="63" t="s">
        <v>154</v>
      </c>
      <c r="AL339" s="9">
        <v>13.492557821051134</v>
      </c>
      <c r="AM339" s="67" t="s">
        <v>20</v>
      </c>
      <c r="AN339" s="73" t="s">
        <v>1519</v>
      </c>
      <c r="AO339" s="9">
        <v>13.080758058779198</v>
      </c>
      <c r="AP339" s="60"/>
      <c r="AQ339" s="67" t="s">
        <v>20</v>
      </c>
      <c r="AR339" s="9">
        <v>6.7328362725400002</v>
      </c>
      <c r="AS339" s="67" t="s">
        <v>66</v>
      </c>
      <c r="AT339" s="9">
        <v>5.5862690180320005</v>
      </c>
      <c r="AU339" s="76" t="s">
        <v>20</v>
      </c>
      <c r="AV339" s="9">
        <v>4.3333333333333002</v>
      </c>
      <c r="AW339" s="67" t="s">
        <v>91</v>
      </c>
      <c r="AX339" s="9">
        <v>81.259707815560006</v>
      </c>
      <c r="AY339" s="76" t="s">
        <v>91</v>
      </c>
      <c r="AZ339" s="9">
        <v>1.8057712847902223</v>
      </c>
      <c r="BA339" s="76" t="s">
        <v>20</v>
      </c>
      <c r="BB339" s="76" t="s">
        <v>91</v>
      </c>
      <c r="BC339" s="9">
        <v>9.1848232018012173</v>
      </c>
      <c r="BD339" s="76" t="s">
        <v>66</v>
      </c>
      <c r="BE339" s="76" t="s">
        <v>91</v>
      </c>
      <c r="BF339" s="9">
        <v>8.8064153498417017</v>
      </c>
      <c r="BG339" s="76" t="s">
        <v>66</v>
      </c>
      <c r="BH339" s="73" t="s">
        <v>1519</v>
      </c>
      <c r="BI339" s="9">
        <v>7.586662951428937</v>
      </c>
      <c r="BJ339" s="67" t="s">
        <v>66</v>
      </c>
      <c r="BK339" s="63" t="s">
        <v>154</v>
      </c>
      <c r="BL339" s="9">
        <v>7.4042495296843258</v>
      </c>
      <c r="BM339" s="67" t="s">
        <v>20</v>
      </c>
      <c r="BN339" s="288" t="s">
        <v>1519</v>
      </c>
      <c r="BO339" s="9">
        <v>6.6670234875099998</v>
      </c>
    </row>
    <row r="340" spans="1:67" x14ac:dyDescent="0.45">
      <c r="A340" s="10">
        <v>319</v>
      </c>
      <c r="B340" s="10" t="s">
        <v>867</v>
      </c>
      <c r="C340" s="288" t="s">
        <v>2171</v>
      </c>
      <c r="D340" s="65"/>
      <c r="E340" s="58" t="s">
        <v>2331</v>
      </c>
      <c r="F340" s="77" t="s">
        <v>2332</v>
      </c>
      <c r="G340" s="242" t="s">
        <v>1925</v>
      </c>
      <c r="H340" s="10"/>
      <c r="I340" s="62">
        <v>203.89740258</v>
      </c>
      <c r="J340" s="62">
        <v>77.449400980000007</v>
      </c>
      <c r="K340" s="62">
        <v>147.78610187000001</v>
      </c>
      <c r="L340" s="49">
        <v>2181.4111163553357</v>
      </c>
      <c r="M340" s="49">
        <v>1759.4444798064294</v>
      </c>
      <c r="N340" s="49">
        <v>1481.4466049548505</v>
      </c>
      <c r="O340" s="61">
        <v>10.62318569446513</v>
      </c>
      <c r="P340" s="60"/>
      <c r="Q340" s="73" t="s">
        <v>206</v>
      </c>
      <c r="R340" s="9">
        <v>20.57415064768</v>
      </c>
      <c r="S340" s="73" t="s">
        <v>206</v>
      </c>
      <c r="T340" s="9">
        <v>17.145125539733336</v>
      </c>
      <c r="U340" s="67" t="s">
        <v>66</v>
      </c>
      <c r="V340" s="9">
        <v>8</v>
      </c>
      <c r="W340" s="288" t="s">
        <v>197</v>
      </c>
      <c r="X340" s="9">
        <v>160.03997401239999</v>
      </c>
      <c r="Y340" s="288" t="s">
        <v>197</v>
      </c>
      <c r="Z340" s="9">
        <v>48.496961821939394</v>
      </c>
      <c r="AA340" s="67" t="s">
        <v>66</v>
      </c>
      <c r="AB340" s="73" t="s">
        <v>197</v>
      </c>
      <c r="AC340" s="9">
        <v>23.325799768</v>
      </c>
      <c r="AD340" s="288" t="s">
        <v>206</v>
      </c>
      <c r="AE340" s="288" t="s">
        <v>197</v>
      </c>
      <c r="AF340" s="9">
        <v>22.619255684245505</v>
      </c>
      <c r="AG340" s="67" t="s">
        <v>66</v>
      </c>
      <c r="AH340" s="67" t="s">
        <v>91</v>
      </c>
      <c r="AI340" s="9">
        <v>21.195402243113119</v>
      </c>
      <c r="AJ340" s="73" t="s">
        <v>206</v>
      </c>
      <c r="AK340" s="76" t="s">
        <v>91</v>
      </c>
      <c r="AL340" s="9">
        <v>21.019821558813007</v>
      </c>
      <c r="AM340" s="73" t="s">
        <v>206</v>
      </c>
      <c r="AN340" s="54" t="s">
        <v>154</v>
      </c>
      <c r="AO340" s="9">
        <v>18.269801962711444</v>
      </c>
      <c r="AP340" s="60"/>
      <c r="AQ340" s="73" t="s">
        <v>206</v>
      </c>
      <c r="AR340" s="9">
        <v>20.084796881488</v>
      </c>
      <c r="AS340" s="67" t="s">
        <v>66</v>
      </c>
      <c r="AT340" s="9">
        <v>7.3615989604959999</v>
      </c>
      <c r="AU340" s="288" t="s">
        <v>206</v>
      </c>
      <c r="AV340" s="9">
        <v>2.6666666666666998</v>
      </c>
      <c r="AW340" s="73" t="s">
        <v>197</v>
      </c>
      <c r="AX340" s="9">
        <v>207.75196621612002</v>
      </c>
      <c r="AY340" s="288" t="s">
        <v>197</v>
      </c>
      <c r="AZ340" s="9">
        <v>2.7700262162149336</v>
      </c>
      <c r="BA340" s="288" t="s">
        <v>206</v>
      </c>
      <c r="BB340" s="288" t="s">
        <v>197</v>
      </c>
      <c r="BC340" s="9">
        <v>13.59817809373631</v>
      </c>
      <c r="BD340" s="288" t="s">
        <v>206</v>
      </c>
      <c r="BE340" s="76" t="s">
        <v>91</v>
      </c>
      <c r="BF340" s="9">
        <v>12.60447352542937</v>
      </c>
      <c r="BG340" s="76" t="s">
        <v>66</v>
      </c>
      <c r="BH340" s="73" t="s">
        <v>197</v>
      </c>
      <c r="BI340" s="9">
        <v>12.566543564538183</v>
      </c>
      <c r="BJ340" s="67" t="s">
        <v>66</v>
      </c>
      <c r="BK340" s="76" t="s">
        <v>91</v>
      </c>
      <c r="BL340" s="9">
        <v>11.828253549780426</v>
      </c>
      <c r="BM340" s="73" t="s">
        <v>206</v>
      </c>
      <c r="BN340" s="63" t="s">
        <v>154</v>
      </c>
      <c r="BO340" s="9">
        <v>10.044906975384778</v>
      </c>
    </row>
    <row r="341" spans="1:67" x14ac:dyDescent="0.45">
      <c r="A341" s="10">
        <v>320</v>
      </c>
      <c r="B341" s="10" t="s">
        <v>864</v>
      </c>
      <c r="C341" s="288" t="s">
        <v>1993</v>
      </c>
      <c r="D341" s="65"/>
      <c r="E341" s="290" t="s">
        <v>2201</v>
      </c>
      <c r="F341" s="59" t="s">
        <v>2202</v>
      </c>
      <c r="G341" s="242"/>
      <c r="H341" s="10"/>
      <c r="I341" s="62">
        <v>119.33530151000001</v>
      </c>
      <c r="J341" s="62">
        <v>65.59490083</v>
      </c>
      <c r="K341" s="62">
        <v>230.76760292</v>
      </c>
      <c r="L341" s="49">
        <v>1468.2208734612541</v>
      </c>
      <c r="M341" s="49">
        <v>1483.2325089538954</v>
      </c>
      <c r="N341" s="49">
        <v>1495.3522511186854</v>
      </c>
      <c r="O341" s="61">
        <v>14.205377687640729</v>
      </c>
      <c r="P341" s="60"/>
      <c r="Q341" s="73" t="s">
        <v>121</v>
      </c>
      <c r="R341" s="9">
        <v>4.5800590453000005</v>
      </c>
      <c r="S341" s="73" t="s">
        <v>121</v>
      </c>
      <c r="T341" s="9">
        <v>9.160118090600001</v>
      </c>
      <c r="U341" s="73" t="s">
        <v>121</v>
      </c>
      <c r="V341" s="9">
        <v>10</v>
      </c>
      <c r="W341" s="288" t="s">
        <v>238</v>
      </c>
      <c r="X341" s="9">
        <v>51.1208266342</v>
      </c>
      <c r="Y341" s="59" t="s">
        <v>0</v>
      </c>
      <c r="Z341" s="9">
        <v>20.36540739452381</v>
      </c>
      <c r="AA341" s="73" t="s">
        <v>121</v>
      </c>
      <c r="AB341" s="53" t="s">
        <v>0</v>
      </c>
      <c r="AC341" s="9">
        <v>12.474358588943662</v>
      </c>
      <c r="AD341" s="288" t="s">
        <v>121</v>
      </c>
      <c r="AE341" s="288" t="s">
        <v>238</v>
      </c>
      <c r="AF341" s="9">
        <v>11.819685010634149</v>
      </c>
      <c r="AG341" s="73" t="s">
        <v>121</v>
      </c>
      <c r="AH341" s="15" t="s">
        <v>1480</v>
      </c>
      <c r="AI341" s="9">
        <v>11.72628388780255</v>
      </c>
      <c r="AJ341" s="73" t="s">
        <v>1230</v>
      </c>
      <c r="AK341" s="288" t="s">
        <v>238</v>
      </c>
      <c r="AL341" s="9">
        <v>1.6387691417481161</v>
      </c>
      <c r="AM341" s="73" t="s">
        <v>1230</v>
      </c>
      <c r="AN341" s="15" t="s">
        <v>1480</v>
      </c>
      <c r="AO341" s="9">
        <v>1.5455691554501085</v>
      </c>
      <c r="AP341" s="60"/>
      <c r="AQ341" s="73" t="s">
        <v>121</v>
      </c>
      <c r="AR341" s="9">
        <v>3.7924460553340005</v>
      </c>
      <c r="AS341" s="73" t="s">
        <v>121</v>
      </c>
      <c r="AT341" s="9">
        <v>3.7924460553340005</v>
      </c>
      <c r="AU341" s="288" t="s">
        <v>2495</v>
      </c>
      <c r="AV341" s="9">
        <v>3</v>
      </c>
      <c r="AW341" s="73" t="s">
        <v>238</v>
      </c>
      <c r="AX341" s="9">
        <v>66.157074624460009</v>
      </c>
      <c r="AY341" s="64" t="s">
        <v>1480</v>
      </c>
      <c r="AZ341" s="9">
        <v>1.358307645397143</v>
      </c>
      <c r="BA341" s="288" t="s">
        <v>121</v>
      </c>
      <c r="BB341" s="64" t="s">
        <v>1480</v>
      </c>
      <c r="BC341" s="9">
        <v>7.2462609132471067</v>
      </c>
      <c r="BD341" s="288" t="s">
        <v>121</v>
      </c>
      <c r="BE341" s="288" t="s">
        <v>238</v>
      </c>
      <c r="BF341" s="9">
        <v>6.7621902729114298</v>
      </c>
      <c r="BG341" s="288" t="s">
        <v>121</v>
      </c>
      <c r="BH341" s="53" t="s">
        <v>0</v>
      </c>
      <c r="BI341" s="9">
        <v>6.7078299873179255</v>
      </c>
      <c r="BJ341" s="73" t="s">
        <v>1230</v>
      </c>
      <c r="BK341" s="64" t="s">
        <v>1480</v>
      </c>
      <c r="BL341" s="9">
        <v>3.9834816517552634</v>
      </c>
      <c r="BM341" s="73" t="s">
        <v>1230</v>
      </c>
      <c r="BN341" s="288" t="s">
        <v>238</v>
      </c>
      <c r="BO341" s="9">
        <v>3.3884321249742859</v>
      </c>
    </row>
    <row r="342" spans="1:67" x14ac:dyDescent="0.45">
      <c r="A342" s="10">
        <v>321</v>
      </c>
      <c r="B342" s="10" t="s">
        <v>245</v>
      </c>
      <c r="C342" s="288" t="s">
        <v>1993</v>
      </c>
      <c r="D342" s="65"/>
      <c r="E342" s="290" t="s">
        <v>2201</v>
      </c>
      <c r="F342" s="59" t="s">
        <v>2202</v>
      </c>
      <c r="G342" s="242"/>
      <c r="H342" s="10"/>
      <c r="I342" s="62">
        <v>150.15700190000001</v>
      </c>
      <c r="J342" s="62">
        <v>80.610601020000004</v>
      </c>
      <c r="K342" s="62">
        <v>286.08860362000001</v>
      </c>
      <c r="L342" s="49">
        <v>2280.2997884925799</v>
      </c>
      <c r="M342" s="49">
        <v>2288.8932427624268</v>
      </c>
      <c r="N342" s="49">
        <v>2295.7913175102349</v>
      </c>
      <c r="O342" s="61">
        <v>21.341428874575627</v>
      </c>
      <c r="P342" s="60"/>
      <c r="Q342" s="57" t="s">
        <v>95</v>
      </c>
      <c r="R342" s="9">
        <v>10.009420114000001</v>
      </c>
      <c r="S342" s="73" t="s">
        <v>121</v>
      </c>
      <c r="T342" s="9">
        <v>11.009420114000001</v>
      </c>
      <c r="U342" s="73" t="s">
        <v>121</v>
      </c>
      <c r="V342" s="9">
        <v>10</v>
      </c>
      <c r="W342" s="64" t="s">
        <v>112</v>
      </c>
      <c r="X342" s="9">
        <v>113.61775142500001</v>
      </c>
      <c r="Y342" s="288" t="s">
        <v>218</v>
      </c>
      <c r="Z342" s="9">
        <v>35.036018082941176</v>
      </c>
      <c r="AA342" s="73" t="s">
        <v>121</v>
      </c>
      <c r="AB342" s="73" t="s">
        <v>218</v>
      </c>
      <c r="AC342" s="9">
        <v>17.105721091194031</v>
      </c>
      <c r="AD342" s="288" t="s">
        <v>121</v>
      </c>
      <c r="AE342" s="64" t="s">
        <v>112</v>
      </c>
      <c r="AF342" s="9">
        <v>16.211011055434785</v>
      </c>
      <c r="AG342" s="73" t="s">
        <v>121</v>
      </c>
      <c r="AH342" s="74" t="s">
        <v>132</v>
      </c>
      <c r="AI342" s="9">
        <v>15.931011631679391</v>
      </c>
      <c r="AJ342" s="57" t="s">
        <v>95</v>
      </c>
      <c r="AK342" s="288" t="s">
        <v>218</v>
      </c>
      <c r="AL342" s="9">
        <v>15.223379348749999</v>
      </c>
      <c r="AM342" s="57" t="s">
        <v>95</v>
      </c>
      <c r="AN342" s="15" t="s">
        <v>112</v>
      </c>
      <c r="AO342" s="9">
        <v>14.439996794932433</v>
      </c>
      <c r="AP342" s="60"/>
      <c r="AQ342" s="57" t="s">
        <v>95</v>
      </c>
      <c r="AR342" s="9">
        <v>8.8081640988000007</v>
      </c>
      <c r="AS342" s="73" t="s">
        <v>121</v>
      </c>
      <c r="AT342" s="9">
        <v>4.5136738444600004</v>
      </c>
      <c r="AU342" s="288" t="s">
        <v>121</v>
      </c>
      <c r="AV342" s="9">
        <v>3</v>
      </c>
      <c r="AW342" s="15" t="s">
        <v>112</v>
      </c>
      <c r="AX342" s="9">
        <v>147.40307685250002</v>
      </c>
      <c r="AY342" s="288" t="s">
        <v>218</v>
      </c>
      <c r="AZ342" s="9">
        <v>1.9282399990825003</v>
      </c>
      <c r="BA342" s="288" t="s">
        <v>121</v>
      </c>
      <c r="BB342" s="64" t="s">
        <v>112</v>
      </c>
      <c r="BC342" s="9">
        <v>9.6783510616180735</v>
      </c>
      <c r="BD342" s="288" t="s">
        <v>121</v>
      </c>
      <c r="BE342" s="288" t="s">
        <v>218</v>
      </c>
      <c r="BF342" s="9">
        <v>9.5799012481000005</v>
      </c>
      <c r="BG342" s="288" t="s">
        <v>121</v>
      </c>
      <c r="BH342" s="74" t="s">
        <v>132</v>
      </c>
      <c r="BI342" s="9">
        <v>9.2586351045000015</v>
      </c>
      <c r="BJ342" s="57" t="s">
        <v>95</v>
      </c>
      <c r="BK342" s="288" t="s">
        <v>218</v>
      </c>
      <c r="BL342" s="9">
        <v>6.4690806645380956</v>
      </c>
      <c r="BM342" s="57" t="s">
        <v>95</v>
      </c>
      <c r="BN342" s="64" t="s">
        <v>112</v>
      </c>
      <c r="BO342" s="9">
        <v>6.4596406057682945</v>
      </c>
    </row>
    <row r="343" spans="1:67" x14ac:dyDescent="0.45">
      <c r="A343" s="10">
        <v>322</v>
      </c>
      <c r="B343" s="10" t="s">
        <v>862</v>
      </c>
      <c r="C343" s="80" t="s">
        <v>2172</v>
      </c>
      <c r="D343" s="288" t="s">
        <v>1993</v>
      </c>
      <c r="E343" s="80" t="s">
        <v>1892</v>
      </c>
      <c r="F343" s="63" t="s">
        <v>2333</v>
      </c>
      <c r="G343" s="290" t="s">
        <v>1992</v>
      </c>
      <c r="H343" s="10"/>
      <c r="I343" s="62">
        <v>105.90020134000001</v>
      </c>
      <c r="J343" s="62">
        <v>74.28820094000001</v>
      </c>
      <c r="K343" s="62">
        <v>134.35100170000001</v>
      </c>
      <c r="L343" s="49">
        <v>1057.9792760600205</v>
      </c>
      <c r="M343" s="49">
        <v>1037.6200548736242</v>
      </c>
      <c r="N343" s="49">
        <v>1021.6151253991568</v>
      </c>
      <c r="O343" s="61">
        <v>9.2905183190570249</v>
      </c>
      <c r="P343" s="60"/>
      <c r="Q343" s="70" t="s">
        <v>138</v>
      </c>
      <c r="R343" s="9">
        <v>7.3540120804000004</v>
      </c>
      <c r="S343" s="70" t="s">
        <v>138</v>
      </c>
      <c r="T343" s="9">
        <v>7.3540120804000004</v>
      </c>
      <c r="U343" s="15" t="s">
        <v>2387</v>
      </c>
      <c r="V343" s="9">
        <v>10</v>
      </c>
      <c r="W343" s="75" t="s">
        <v>270</v>
      </c>
      <c r="X343" s="9">
        <v>61.363114763800006</v>
      </c>
      <c r="Y343" s="75" t="s">
        <v>270</v>
      </c>
      <c r="Z343" s="9">
        <v>20.454371587933334</v>
      </c>
      <c r="AA343" s="70" t="s">
        <v>138</v>
      </c>
      <c r="AB343" s="71" t="s">
        <v>1504</v>
      </c>
      <c r="AC343" s="9">
        <v>10.423783181788236</v>
      </c>
      <c r="AD343" s="64" t="s">
        <v>127</v>
      </c>
      <c r="AE343" s="80" t="s">
        <v>1504</v>
      </c>
      <c r="AF343" s="9">
        <v>10.389076115082354</v>
      </c>
      <c r="AG343" s="70" t="s">
        <v>138</v>
      </c>
      <c r="AH343" s="70" t="s">
        <v>270</v>
      </c>
      <c r="AI343" s="9">
        <v>10.377171966753847</v>
      </c>
      <c r="AJ343" s="15" t="s">
        <v>127</v>
      </c>
      <c r="AK343" s="75" t="s">
        <v>270</v>
      </c>
      <c r="AL343" s="9">
        <v>10.331785802600002</v>
      </c>
      <c r="AM343" s="70" t="s">
        <v>138</v>
      </c>
      <c r="AN343" s="15" t="s">
        <v>1508</v>
      </c>
      <c r="AO343" s="9">
        <v>9.983972503059702</v>
      </c>
      <c r="AP343" s="60"/>
      <c r="AQ343" s="70" t="s">
        <v>138</v>
      </c>
      <c r="AR343" s="9">
        <v>5.9561294227120003</v>
      </c>
      <c r="AS343" s="15" t="s">
        <v>127</v>
      </c>
      <c r="AT343" s="9">
        <v>3.0650539261300001</v>
      </c>
      <c r="AU343" s="75" t="s">
        <v>138</v>
      </c>
      <c r="AV343" s="9">
        <v>3</v>
      </c>
      <c r="AW343" s="70" t="s">
        <v>270</v>
      </c>
      <c r="AX343" s="9">
        <v>79.472049192940005</v>
      </c>
      <c r="AY343" s="80" t="s">
        <v>1504</v>
      </c>
      <c r="AZ343" s="9">
        <v>1.1180287606026666</v>
      </c>
      <c r="BA343" s="75" t="s">
        <v>138</v>
      </c>
      <c r="BB343" s="80" t="s">
        <v>1504</v>
      </c>
      <c r="BC343" s="9">
        <v>6.0306199934895242</v>
      </c>
      <c r="BD343" s="75" t="s">
        <v>138</v>
      </c>
      <c r="BE343" s="75" t="s">
        <v>270</v>
      </c>
      <c r="BF343" s="9">
        <v>5.9201410375707688</v>
      </c>
      <c r="BG343" s="75" t="s">
        <v>138</v>
      </c>
      <c r="BH343" s="15" t="s">
        <v>1508</v>
      </c>
      <c r="BI343" s="9">
        <v>5.4814082416602323</v>
      </c>
      <c r="BJ343" s="15" t="s">
        <v>127</v>
      </c>
      <c r="BK343" s="80" t="s">
        <v>1504</v>
      </c>
      <c r="BL343" s="9">
        <v>5.1301078522600001</v>
      </c>
      <c r="BM343" s="15" t="s">
        <v>127</v>
      </c>
      <c r="BN343" s="75" t="s">
        <v>270</v>
      </c>
      <c r="BO343" s="9">
        <v>5.049651205787403</v>
      </c>
    </row>
    <row r="344" spans="1:67" x14ac:dyDescent="0.45">
      <c r="A344" s="10">
        <v>323</v>
      </c>
      <c r="B344" s="10" t="s">
        <v>860</v>
      </c>
      <c r="C344" s="80" t="s">
        <v>2172</v>
      </c>
      <c r="D344" s="288" t="s">
        <v>1993</v>
      </c>
      <c r="E344" s="80" t="s">
        <v>1892</v>
      </c>
      <c r="F344" s="63" t="s">
        <v>2333</v>
      </c>
      <c r="G344" s="290" t="s">
        <v>1992</v>
      </c>
      <c r="H344" s="10"/>
      <c r="I344" s="62">
        <v>165.17270209</v>
      </c>
      <c r="J344" s="62">
        <v>119.33530151000001</v>
      </c>
      <c r="K344" s="62">
        <v>147.78610187000001</v>
      </c>
      <c r="L344" s="49">
        <v>2193.5095921168113</v>
      </c>
      <c r="M344" s="49">
        <v>2039.6729428642575</v>
      </c>
      <c r="N344" s="49">
        <v>1924.4087919621275</v>
      </c>
      <c r="O344" s="61">
        <v>15.755867792119721</v>
      </c>
      <c r="P344" s="60"/>
      <c r="Q344" s="55" t="s">
        <v>53</v>
      </c>
      <c r="R344" s="9">
        <v>13.38795265675</v>
      </c>
      <c r="S344" s="70" t="s">
        <v>138</v>
      </c>
      <c r="T344" s="9">
        <v>10.910362125399999</v>
      </c>
      <c r="U344" s="70" t="s">
        <v>138</v>
      </c>
      <c r="V344" s="9">
        <v>10</v>
      </c>
      <c r="W344" s="75" t="s">
        <v>48</v>
      </c>
      <c r="X344" s="9">
        <v>159.56579400639998</v>
      </c>
      <c r="Y344" s="75" t="s">
        <v>48</v>
      </c>
      <c r="Z344" s="9">
        <v>39.891448501599996</v>
      </c>
      <c r="AA344" s="70" t="s">
        <v>138</v>
      </c>
      <c r="AB344" s="70" t="s">
        <v>48</v>
      </c>
      <c r="AC344" s="9">
        <v>19.1906725186</v>
      </c>
      <c r="AD344" s="75" t="s">
        <v>138</v>
      </c>
      <c r="AE344" s="80" t="s">
        <v>79</v>
      </c>
      <c r="AF344" s="9">
        <v>18.297697868352941</v>
      </c>
      <c r="AG344" s="70" t="s">
        <v>138</v>
      </c>
      <c r="AH344" s="71" t="s">
        <v>153</v>
      </c>
      <c r="AI344" s="9">
        <v>17.983189753604652</v>
      </c>
      <c r="AJ344" s="70" t="s">
        <v>138</v>
      </c>
      <c r="AK344" s="79" t="s">
        <v>9</v>
      </c>
      <c r="AL344" s="9">
        <v>17.366379405033555</v>
      </c>
      <c r="AM344" s="55" t="s">
        <v>53</v>
      </c>
      <c r="AN344" s="70" t="s">
        <v>48</v>
      </c>
      <c r="AO344" s="9">
        <v>17.26148944552353</v>
      </c>
      <c r="AP344" s="60"/>
      <c r="AQ344" s="55" t="s">
        <v>53</v>
      </c>
      <c r="AR344" s="9">
        <v>10.662603072265</v>
      </c>
      <c r="AS344" s="70" t="s">
        <v>138</v>
      </c>
      <c r="AT344" s="9">
        <v>4.3650412289060005</v>
      </c>
      <c r="AU344" s="75" t="s">
        <v>138</v>
      </c>
      <c r="AV344" s="9">
        <v>3</v>
      </c>
      <c r="AW344" s="70" t="s">
        <v>48</v>
      </c>
      <c r="AX344" s="9">
        <v>168.48511991926</v>
      </c>
      <c r="AY344" s="75" t="s">
        <v>48</v>
      </c>
      <c r="AZ344" s="9">
        <v>3.063365816713818</v>
      </c>
      <c r="BA344" s="75" t="s">
        <v>138</v>
      </c>
      <c r="BB344" s="75" t="s">
        <v>48</v>
      </c>
      <c r="BC344" s="9">
        <v>12.854010816338103</v>
      </c>
      <c r="BD344" s="75" t="s">
        <v>138</v>
      </c>
      <c r="BE344" s="80" t="s">
        <v>79</v>
      </c>
      <c r="BF344" s="9">
        <v>11.037244519817794</v>
      </c>
      <c r="BG344" s="58" t="s">
        <v>53</v>
      </c>
      <c r="BH344" s="70" t="s">
        <v>48</v>
      </c>
      <c r="BI344" s="9">
        <v>10.266505862845321</v>
      </c>
      <c r="BJ344" s="70" t="s">
        <v>138</v>
      </c>
      <c r="BK344" s="80" t="s">
        <v>153</v>
      </c>
      <c r="BL344" s="9">
        <v>10.188465141230518</v>
      </c>
      <c r="BM344" s="70" t="s">
        <v>138</v>
      </c>
      <c r="BN344" s="79" t="s">
        <v>9</v>
      </c>
      <c r="BO344" s="9">
        <v>10.064258456936507</v>
      </c>
    </row>
    <row r="345" spans="1:67" x14ac:dyDescent="0.45">
      <c r="A345" s="10">
        <v>324</v>
      </c>
      <c r="B345" s="10" t="s">
        <v>858</v>
      </c>
      <c r="C345" s="75" t="s">
        <v>1976</v>
      </c>
      <c r="D345" s="65"/>
      <c r="E345" s="80" t="s">
        <v>2198</v>
      </c>
      <c r="F345" s="289" t="s">
        <v>2199</v>
      </c>
      <c r="G345" s="242"/>
      <c r="H345" s="10"/>
      <c r="I345" s="62">
        <v>131.18980166</v>
      </c>
      <c r="J345" s="62">
        <v>172.28540218000001</v>
      </c>
      <c r="K345" s="62">
        <v>147.78610187000001</v>
      </c>
      <c r="L345" s="49">
        <v>2093.3464630848707</v>
      </c>
      <c r="M345" s="49">
        <v>2234.5398304598061</v>
      </c>
      <c r="N345" s="49">
        <v>2354.3210745567167</v>
      </c>
      <c r="O345" s="61">
        <v>21.719444727315562</v>
      </c>
      <c r="P345" s="60"/>
      <c r="Q345" s="70" t="s">
        <v>36</v>
      </c>
      <c r="R345" s="9">
        <v>12.019943339439999</v>
      </c>
      <c r="S345" s="70" t="s">
        <v>36</v>
      </c>
      <c r="T345" s="9">
        <v>10.927221217672725</v>
      </c>
      <c r="U345" s="70" t="s">
        <v>138</v>
      </c>
      <c r="V345" s="9">
        <v>10</v>
      </c>
      <c r="W345" s="75" t="s">
        <v>48</v>
      </c>
      <c r="X345" s="9">
        <v>126.9422095936</v>
      </c>
      <c r="Y345" s="75" t="s">
        <v>48</v>
      </c>
      <c r="Z345" s="9">
        <v>31.735552398399999</v>
      </c>
      <c r="AA345" s="70" t="s">
        <v>36</v>
      </c>
      <c r="AB345" s="70" t="s">
        <v>48</v>
      </c>
      <c r="AC345" s="9">
        <v>16.476109532533332</v>
      </c>
      <c r="AD345" s="75" t="s">
        <v>138</v>
      </c>
      <c r="AE345" s="75" t="s">
        <v>48</v>
      </c>
      <c r="AF345" s="9">
        <v>15.404006470685713</v>
      </c>
      <c r="AG345" s="70" t="s">
        <v>36</v>
      </c>
      <c r="AH345" s="72" t="s">
        <v>9</v>
      </c>
      <c r="AI345" s="9">
        <v>15.048443703672953</v>
      </c>
      <c r="AJ345" s="70" t="s">
        <v>36</v>
      </c>
      <c r="AK345" s="80" t="s">
        <v>79</v>
      </c>
      <c r="AL345" s="9">
        <v>14.591253051808216</v>
      </c>
      <c r="AM345" s="70" t="s">
        <v>138</v>
      </c>
      <c r="AN345" s="72" t="s">
        <v>9</v>
      </c>
      <c r="AO345" s="9">
        <v>13.945282046308725</v>
      </c>
      <c r="AP345" s="60"/>
      <c r="AQ345" s="70" t="s">
        <v>36</v>
      </c>
      <c r="AR345" s="9">
        <v>10.209524076532</v>
      </c>
      <c r="AS345" s="70" t="s">
        <v>138</v>
      </c>
      <c r="AT345" s="9">
        <v>3.5698413588440001</v>
      </c>
      <c r="AU345" s="75" t="s">
        <v>36</v>
      </c>
      <c r="AV345" s="9">
        <v>3.3333333333333002</v>
      </c>
      <c r="AW345" s="70" t="s">
        <v>48</v>
      </c>
      <c r="AX345" s="9">
        <v>134.02645888324</v>
      </c>
      <c r="AY345" s="75" t="s">
        <v>48</v>
      </c>
      <c r="AZ345" s="9">
        <v>2.4368447069679999</v>
      </c>
      <c r="BA345" s="75" t="s">
        <v>36</v>
      </c>
      <c r="BB345" s="75" t="s">
        <v>48</v>
      </c>
      <c r="BC345" s="9">
        <v>10.867362360238056</v>
      </c>
      <c r="BD345" s="75" t="s">
        <v>138</v>
      </c>
      <c r="BE345" s="75" t="s">
        <v>48</v>
      </c>
      <c r="BF345" s="9">
        <v>10.317597437692068</v>
      </c>
      <c r="BG345" s="75" t="s">
        <v>36</v>
      </c>
      <c r="BH345" s="72" t="s">
        <v>9</v>
      </c>
      <c r="BI345" s="9">
        <v>8.4234499692302389</v>
      </c>
      <c r="BJ345" s="70" t="s">
        <v>36</v>
      </c>
      <c r="BK345" s="80" t="s">
        <v>79</v>
      </c>
      <c r="BL345" s="9">
        <v>8.2775586240125847</v>
      </c>
      <c r="BM345" s="70" t="s">
        <v>138</v>
      </c>
      <c r="BN345" s="79" t="s">
        <v>9</v>
      </c>
      <c r="BO345" s="9">
        <v>8.1002105850966259</v>
      </c>
    </row>
    <row r="346" spans="1:67" x14ac:dyDescent="0.45">
      <c r="A346" s="10">
        <v>325</v>
      </c>
      <c r="B346" s="10" t="s">
        <v>855</v>
      </c>
      <c r="C346" s="242" t="s">
        <v>1925</v>
      </c>
      <c r="D346" s="65"/>
      <c r="E346" s="289" t="s">
        <v>2239</v>
      </c>
      <c r="F346" s="58" t="s">
        <v>2170</v>
      </c>
      <c r="G346" s="242"/>
      <c r="H346" s="10"/>
      <c r="I346" s="62">
        <v>110.64200140000001</v>
      </c>
      <c r="J346" s="62">
        <v>108.27110137000001</v>
      </c>
      <c r="K346" s="62">
        <v>134.35100170000001</v>
      </c>
      <c r="L346" s="49">
        <v>1334.4329430255298</v>
      </c>
      <c r="M346" s="49">
        <v>1373.3534547642712</v>
      </c>
      <c r="N346" s="49">
        <v>1405.3056099830153</v>
      </c>
      <c r="O346" s="61">
        <v>13.125246075838445</v>
      </c>
      <c r="P346" s="60"/>
      <c r="Q346" s="57" t="s">
        <v>95</v>
      </c>
      <c r="R346" s="9">
        <v>8.9662241007999999</v>
      </c>
      <c r="S346" s="57" t="s">
        <v>95</v>
      </c>
      <c r="T346" s="9">
        <v>8.1511128189090893</v>
      </c>
      <c r="U346" s="57" t="s">
        <v>95</v>
      </c>
      <c r="V346" s="9">
        <v>9.0909999999999993</v>
      </c>
      <c r="W346" s="77" t="s">
        <v>73</v>
      </c>
      <c r="X346" s="9">
        <v>56.321000700000006</v>
      </c>
      <c r="Y346" s="77" t="s">
        <v>73</v>
      </c>
      <c r="Z346" s="9">
        <v>18.773666900000002</v>
      </c>
      <c r="AA346" s="57" t="s">
        <v>95</v>
      </c>
      <c r="AB346" s="68" t="s">
        <v>73</v>
      </c>
      <c r="AC346" s="9">
        <v>11.900249553411767</v>
      </c>
      <c r="AD346" s="242" t="s">
        <v>95</v>
      </c>
      <c r="AE346" s="242" t="s">
        <v>1516</v>
      </c>
      <c r="AF346" s="9">
        <v>10.609282884137929</v>
      </c>
      <c r="AG346" s="57" t="s">
        <v>95</v>
      </c>
      <c r="AH346" s="57" t="s">
        <v>778</v>
      </c>
      <c r="AI346" s="9">
        <v>10.575585309629629</v>
      </c>
      <c r="AJ346" s="73" t="s">
        <v>1230</v>
      </c>
      <c r="AK346" s="77" t="s">
        <v>73</v>
      </c>
      <c r="AL346" s="9">
        <v>1.7582919070270273</v>
      </c>
      <c r="AM346" s="73" t="s">
        <v>1230</v>
      </c>
      <c r="AN346" s="57" t="s">
        <v>1516</v>
      </c>
      <c r="AO346" s="9">
        <v>1.5601644905920344</v>
      </c>
      <c r="AP346" s="60"/>
      <c r="AQ346" s="57" t="s">
        <v>95</v>
      </c>
      <c r="AR346" s="9">
        <v>7.9040608873600009</v>
      </c>
      <c r="AS346" s="57" t="s">
        <v>95</v>
      </c>
      <c r="AT346" s="9">
        <v>2.6346869624533338</v>
      </c>
      <c r="AU346" s="288" t="s">
        <v>1230</v>
      </c>
      <c r="AV346" s="9">
        <v>3</v>
      </c>
      <c r="AW346" s="68" t="s">
        <v>73</v>
      </c>
      <c r="AX346" s="9">
        <v>72.917300910000009</v>
      </c>
      <c r="AY346" s="77" t="s">
        <v>73</v>
      </c>
      <c r="AZ346" s="9">
        <v>1.3257691074545457</v>
      </c>
      <c r="BA346" s="242" t="s">
        <v>95</v>
      </c>
      <c r="BB346" s="77" t="s">
        <v>73</v>
      </c>
      <c r="BC346" s="9">
        <v>5.1007435921918134</v>
      </c>
      <c r="BD346" s="242" t="s">
        <v>95</v>
      </c>
      <c r="BE346" s="242" t="s">
        <v>1516</v>
      </c>
      <c r="BF346" s="9">
        <v>4.5306819883225815</v>
      </c>
      <c r="BG346" s="242" t="s">
        <v>95</v>
      </c>
      <c r="BH346" s="57" t="s">
        <v>778</v>
      </c>
      <c r="BI346" s="9">
        <v>4.3941876534269007</v>
      </c>
      <c r="BJ346" s="73" t="s">
        <v>1230</v>
      </c>
      <c r="BK346" s="77" t="s">
        <v>73</v>
      </c>
      <c r="BL346" s="9">
        <v>4.0086534953448281</v>
      </c>
      <c r="BM346" s="73" t="s">
        <v>1230</v>
      </c>
      <c r="BN346" s="242" t="s">
        <v>1516</v>
      </c>
      <c r="BO346" s="9">
        <v>3.1624063221142866</v>
      </c>
    </row>
    <row r="347" spans="1:67" x14ac:dyDescent="0.45">
      <c r="A347" s="10">
        <v>326</v>
      </c>
      <c r="B347" s="10" t="s">
        <v>75</v>
      </c>
      <c r="C347" s="242" t="s">
        <v>1925</v>
      </c>
      <c r="D347" s="65"/>
      <c r="E347" s="289" t="s">
        <v>2239</v>
      </c>
      <c r="F347" s="58" t="s">
        <v>2170</v>
      </c>
      <c r="G347" s="242"/>
      <c r="H347" s="10"/>
      <c r="I347" s="62">
        <v>146.99580186</v>
      </c>
      <c r="J347" s="62">
        <v>160.43090203</v>
      </c>
      <c r="K347" s="62">
        <v>162.01150205000002</v>
      </c>
      <c r="L347" s="49">
        <v>2369.8555136679433</v>
      </c>
      <c r="M347" s="49">
        <v>2443.9512404244697</v>
      </c>
      <c r="N347" s="49">
        <v>2504.892380700373</v>
      </c>
      <c r="O347" s="61">
        <v>22.398275819480677</v>
      </c>
      <c r="P347" s="60"/>
      <c r="Q347" s="57" t="s">
        <v>34</v>
      </c>
      <c r="R347" s="9">
        <v>11.583697733919999</v>
      </c>
      <c r="S347" s="57" t="s">
        <v>34</v>
      </c>
      <c r="T347" s="9">
        <v>10.530634303563636</v>
      </c>
      <c r="U347" s="51" t="s">
        <v>74</v>
      </c>
      <c r="V347" s="9">
        <v>13.635999999999999</v>
      </c>
      <c r="W347" s="242" t="s">
        <v>82</v>
      </c>
      <c r="X347" s="9">
        <v>80.3777330044</v>
      </c>
      <c r="Y347" s="242" t="s">
        <v>82</v>
      </c>
      <c r="Z347" s="9">
        <v>28.706333215857146</v>
      </c>
      <c r="AA347" s="57" t="s">
        <v>34</v>
      </c>
      <c r="AB347" s="57" t="s">
        <v>82</v>
      </c>
      <c r="AC347" s="9">
        <v>17.423450143891646</v>
      </c>
      <c r="AD347" s="242" t="s">
        <v>34</v>
      </c>
      <c r="AE347" s="77" t="s">
        <v>73</v>
      </c>
      <c r="AF347" s="9">
        <v>16.188568108307692</v>
      </c>
      <c r="AG347" s="51" t="s">
        <v>74</v>
      </c>
      <c r="AH347" s="57" t="s">
        <v>82</v>
      </c>
      <c r="AI347" s="9">
        <v>15.975851533876289</v>
      </c>
      <c r="AJ347" s="51" t="s">
        <v>74</v>
      </c>
      <c r="AK347" s="77" t="s">
        <v>73</v>
      </c>
      <c r="AL347" s="9">
        <v>14.614601176699999</v>
      </c>
      <c r="AM347" s="57" t="s">
        <v>34</v>
      </c>
      <c r="AN347" s="57" t="s">
        <v>778</v>
      </c>
      <c r="AO347" s="9">
        <v>14.225136319387468</v>
      </c>
      <c r="AP347" s="60"/>
      <c r="AQ347" s="57" t="s">
        <v>34</v>
      </c>
      <c r="AR347" s="9">
        <v>10.172538036064001</v>
      </c>
      <c r="AS347" s="57" t="s">
        <v>34</v>
      </c>
      <c r="AT347" s="9">
        <v>3.3908460120213335</v>
      </c>
      <c r="AU347" s="290" t="s">
        <v>74</v>
      </c>
      <c r="AV347" s="9">
        <v>3.6666666666666998</v>
      </c>
      <c r="AW347" s="57" t="s">
        <v>82</v>
      </c>
      <c r="AX347" s="9">
        <v>104.19105290572</v>
      </c>
      <c r="AY347" s="242" t="s">
        <v>82</v>
      </c>
      <c r="AZ347" s="9">
        <v>1.8943827801040001</v>
      </c>
      <c r="BA347" s="242" t="s">
        <v>34</v>
      </c>
      <c r="BB347" s="242" t="s">
        <v>82</v>
      </c>
      <c r="BC347" s="9">
        <v>9.1508578345184013</v>
      </c>
      <c r="BD347" s="242" t="s">
        <v>34</v>
      </c>
      <c r="BE347" s="77" t="s">
        <v>73</v>
      </c>
      <c r="BF347" s="9">
        <v>8.714070308991543</v>
      </c>
      <c r="BG347" s="290" t="s">
        <v>74</v>
      </c>
      <c r="BH347" s="57" t="s">
        <v>82</v>
      </c>
      <c r="BI347" s="9">
        <v>8.3173669192481245</v>
      </c>
      <c r="BJ347" s="51" t="s">
        <v>74</v>
      </c>
      <c r="BK347" s="77" t="s">
        <v>73</v>
      </c>
      <c r="BL347" s="9">
        <v>7.8396305632031256</v>
      </c>
      <c r="BM347" s="57" t="s">
        <v>34</v>
      </c>
      <c r="BN347" s="242" t="s">
        <v>778</v>
      </c>
      <c r="BO347" s="9">
        <v>7.1853139696475434</v>
      </c>
    </row>
    <row r="348" spans="1:67" x14ac:dyDescent="0.45">
      <c r="A348" s="10">
        <v>327</v>
      </c>
      <c r="B348" s="10" t="s">
        <v>850</v>
      </c>
      <c r="C348" s="64" t="s">
        <v>1889</v>
      </c>
      <c r="D348" s="65"/>
      <c r="E348" s="58" t="s">
        <v>1903</v>
      </c>
      <c r="F348" s="77"/>
      <c r="G348" s="77" t="s">
        <v>1888</v>
      </c>
      <c r="H348" s="10"/>
      <c r="I348" s="62">
        <v>103.52930131000001</v>
      </c>
      <c r="J348" s="62">
        <v>103.52930131000001</v>
      </c>
      <c r="K348" s="62">
        <v>134.35100170000001</v>
      </c>
      <c r="L348" s="49">
        <v>1220.9991990078265</v>
      </c>
      <c r="M348" s="49">
        <v>1275.2000370268911</v>
      </c>
      <c r="N348" s="49">
        <v>1320.2879718139243</v>
      </c>
      <c r="O348" s="61">
        <v>12.604346182550776</v>
      </c>
      <c r="P348" s="60"/>
      <c r="Q348" s="67" t="s">
        <v>266</v>
      </c>
      <c r="R348" s="9">
        <v>4.6235255458500006</v>
      </c>
      <c r="S348" s="67" t="s">
        <v>266</v>
      </c>
      <c r="T348" s="9">
        <v>6.6050364940714301</v>
      </c>
      <c r="U348" s="57" t="s">
        <v>1497</v>
      </c>
      <c r="V348" s="9">
        <v>13.333</v>
      </c>
      <c r="W348" s="80" t="s">
        <v>1490</v>
      </c>
      <c r="X348" s="9">
        <v>52.764650655000004</v>
      </c>
      <c r="Y348" s="56" t="s">
        <v>1488</v>
      </c>
      <c r="Z348" s="9">
        <v>11.636017330781252</v>
      </c>
      <c r="AA348" s="67" t="s">
        <v>266</v>
      </c>
      <c r="AB348" s="71" t="s">
        <v>1490</v>
      </c>
      <c r="AC348" s="9">
        <v>8.9985328172520678</v>
      </c>
      <c r="AD348" s="242" t="s">
        <v>1497</v>
      </c>
      <c r="AE348" s="80" t="s">
        <v>1490</v>
      </c>
      <c r="AF348" s="9">
        <v>8.898355501146451</v>
      </c>
      <c r="AG348" s="67" t="s">
        <v>266</v>
      </c>
      <c r="AH348" s="52" t="s">
        <v>1488</v>
      </c>
      <c r="AI348" s="9">
        <v>8.7303353293811892</v>
      </c>
      <c r="AJ348" s="57" t="s">
        <v>1497</v>
      </c>
      <c r="AK348" s="56" t="s">
        <v>1488</v>
      </c>
      <c r="AL348" s="9">
        <v>8.584418530674462</v>
      </c>
      <c r="AM348" s="67" t="s">
        <v>266</v>
      </c>
      <c r="AN348" s="74" t="s">
        <v>69</v>
      </c>
      <c r="AO348" s="9">
        <v>8.2557876944839155</v>
      </c>
      <c r="AP348" s="60"/>
      <c r="AQ348" s="67" t="s">
        <v>266</v>
      </c>
      <c r="AR348" s="9">
        <v>4.3647022925750001</v>
      </c>
      <c r="AS348" s="67" t="s">
        <v>266</v>
      </c>
      <c r="AT348" s="9">
        <v>2.1823511462875</v>
      </c>
      <c r="AU348" s="242" t="s">
        <v>1497</v>
      </c>
      <c r="AV348" s="9">
        <v>4.5</v>
      </c>
      <c r="AW348" s="71" t="s">
        <v>1490</v>
      </c>
      <c r="AX348" s="9">
        <v>68.294045851500002</v>
      </c>
      <c r="AY348" s="291" t="s">
        <v>69</v>
      </c>
      <c r="AZ348" s="9">
        <v>0.91947616690888889</v>
      </c>
      <c r="BA348" s="242" t="s">
        <v>1497</v>
      </c>
      <c r="BB348" s="291" t="s">
        <v>69</v>
      </c>
      <c r="BC348" s="9">
        <v>5.1336849444204553</v>
      </c>
      <c r="BD348" s="242" t="s">
        <v>1497</v>
      </c>
      <c r="BE348" s="80" t="s">
        <v>1490</v>
      </c>
      <c r="BF348" s="9">
        <v>5.0659888917579883</v>
      </c>
      <c r="BG348" s="76" t="s">
        <v>266</v>
      </c>
      <c r="BH348" s="74" t="s">
        <v>69</v>
      </c>
      <c r="BI348" s="9">
        <v>5.0107896468265469</v>
      </c>
      <c r="BJ348" s="67" t="s">
        <v>266</v>
      </c>
      <c r="BK348" s="80" t="s">
        <v>1490</v>
      </c>
      <c r="BL348" s="9">
        <v>4.953500026146707</v>
      </c>
      <c r="BM348" s="57" t="s">
        <v>1497</v>
      </c>
      <c r="BN348" s="56" t="s">
        <v>1488</v>
      </c>
      <c r="BO348" s="9">
        <v>4.7603238092802336</v>
      </c>
    </row>
    <row r="349" spans="1:67" x14ac:dyDescent="0.45">
      <c r="A349" s="10">
        <v>328</v>
      </c>
      <c r="B349" s="10" t="s">
        <v>847</v>
      </c>
      <c r="C349" s="80" t="s">
        <v>1892</v>
      </c>
      <c r="D349" s="65"/>
      <c r="E349" s="288" t="s">
        <v>2214</v>
      </c>
      <c r="F349" s="63" t="s">
        <v>2215</v>
      </c>
      <c r="G349" s="290" t="s">
        <v>1992</v>
      </c>
      <c r="H349" s="10"/>
      <c r="I349" s="62">
        <v>139.88310177</v>
      </c>
      <c r="J349" s="62">
        <v>73.49790093</v>
      </c>
      <c r="K349" s="62">
        <v>113.01290143000001</v>
      </c>
      <c r="L349" s="49">
        <v>1274.8724444902707</v>
      </c>
      <c r="M349" s="49">
        <v>1105.2117067594022</v>
      </c>
      <c r="N349" s="49">
        <v>985.89001973498011</v>
      </c>
      <c r="O349" s="61">
        <v>7.7375195851972354</v>
      </c>
      <c r="P349" s="60"/>
      <c r="Q349" s="69" t="s">
        <v>1523</v>
      </c>
      <c r="R349" s="9">
        <v>11.49123263275</v>
      </c>
      <c r="S349" s="71" t="s">
        <v>144</v>
      </c>
      <c r="T349" s="9">
        <v>8.6608217551666655</v>
      </c>
      <c r="U349" s="71" t="s">
        <v>144</v>
      </c>
      <c r="V349" s="9">
        <v>11.667</v>
      </c>
      <c r="W349" s="80" t="s">
        <v>1490</v>
      </c>
      <c r="X349" s="9">
        <v>84.929861062000001</v>
      </c>
      <c r="Y349" s="64" t="s">
        <v>52</v>
      </c>
      <c r="Z349" s="9">
        <v>36.39934687107143</v>
      </c>
      <c r="AA349" s="71" t="s">
        <v>144</v>
      </c>
      <c r="AB349" s="15" t="s">
        <v>52</v>
      </c>
      <c r="AC349" s="9">
        <v>14.119407018939089</v>
      </c>
      <c r="AD349" s="80" t="s">
        <v>144</v>
      </c>
      <c r="AE349" s="80" t="s">
        <v>1490</v>
      </c>
      <c r="AF349" s="9">
        <v>13.582411448155803</v>
      </c>
      <c r="AG349" s="69" t="s">
        <v>1523</v>
      </c>
      <c r="AH349" s="71" t="s">
        <v>1490</v>
      </c>
      <c r="AI349" s="9">
        <v>12.704532972972508</v>
      </c>
      <c r="AJ349" s="69" t="s">
        <v>1523</v>
      </c>
      <c r="AK349" s="64" t="s">
        <v>52</v>
      </c>
      <c r="AL349" s="9">
        <v>12.648499667844353</v>
      </c>
      <c r="AM349" s="71" t="s">
        <v>144</v>
      </c>
      <c r="AN349" s="67" t="s">
        <v>91</v>
      </c>
      <c r="AO349" s="9">
        <v>12.333255529241354</v>
      </c>
      <c r="AP349" s="60"/>
      <c r="AQ349" s="69" t="s">
        <v>1523</v>
      </c>
      <c r="AR349" s="9">
        <v>9.1831614535450008</v>
      </c>
      <c r="AS349" s="69" t="s">
        <v>1523</v>
      </c>
      <c r="AT349" s="9">
        <v>3.0610538178483337</v>
      </c>
      <c r="AU349" s="80" t="s">
        <v>144</v>
      </c>
      <c r="AV349" s="9">
        <v>4.5</v>
      </c>
      <c r="AW349" s="15" t="s">
        <v>52</v>
      </c>
      <c r="AX349" s="9">
        <v>119.20122099565</v>
      </c>
      <c r="AY349" s="64" t="s">
        <v>52</v>
      </c>
      <c r="AZ349" s="9">
        <v>1.702874585652143</v>
      </c>
      <c r="BA349" s="80" t="s">
        <v>144</v>
      </c>
      <c r="BB349" s="64" t="s">
        <v>52</v>
      </c>
      <c r="BC349" s="9">
        <v>9.2076477158396646</v>
      </c>
      <c r="BD349" s="80" t="s">
        <v>144</v>
      </c>
      <c r="BE349" s="80" t="s">
        <v>1490</v>
      </c>
      <c r="BF349" s="9">
        <v>7.8866304197564503</v>
      </c>
      <c r="BG349" s="80" t="s">
        <v>144</v>
      </c>
      <c r="BH349" s="67" t="s">
        <v>91</v>
      </c>
      <c r="BI349" s="9">
        <v>7.8193758374945448</v>
      </c>
      <c r="BJ349" s="69" t="s">
        <v>1523</v>
      </c>
      <c r="BK349" s="64" t="s">
        <v>52</v>
      </c>
      <c r="BL349" s="9">
        <v>7.3230783014373859</v>
      </c>
      <c r="BM349" s="69" t="s">
        <v>1523</v>
      </c>
      <c r="BN349" s="80" t="s">
        <v>1490</v>
      </c>
      <c r="BO349" s="9">
        <v>6.5142075456790325</v>
      </c>
    </row>
    <row r="350" spans="1:67" x14ac:dyDescent="0.45">
      <c r="A350" s="10">
        <v>329</v>
      </c>
      <c r="B350" s="10" t="s">
        <v>845</v>
      </c>
      <c r="C350" s="80" t="s">
        <v>2173</v>
      </c>
      <c r="D350" s="291" t="s">
        <v>1919</v>
      </c>
      <c r="E350" s="78" t="s">
        <v>2312</v>
      </c>
      <c r="F350" s="63" t="s">
        <v>2224</v>
      </c>
      <c r="G350" s="242"/>
      <c r="H350" s="290" t="s">
        <v>1992</v>
      </c>
      <c r="I350" s="62">
        <v>117.75470149</v>
      </c>
      <c r="J350" s="62">
        <v>90.09420114000001</v>
      </c>
      <c r="K350" s="62">
        <v>120.12560152</v>
      </c>
      <c r="L350" s="49">
        <v>1225.0236211155529</v>
      </c>
      <c r="M350" s="49">
        <v>1175.4579925901621</v>
      </c>
      <c r="N350" s="49">
        <v>1137.2533731920755</v>
      </c>
      <c r="O350" s="61">
        <v>9.9281512497619726</v>
      </c>
      <c r="P350" s="60"/>
      <c r="Q350" s="66" t="s">
        <v>254</v>
      </c>
      <c r="R350" s="9">
        <v>5.2391692536400001</v>
      </c>
      <c r="S350" s="66" t="s">
        <v>254</v>
      </c>
      <c r="T350" s="9">
        <v>10.47833850728</v>
      </c>
      <c r="U350" s="71" t="s">
        <v>144</v>
      </c>
      <c r="V350" s="9">
        <v>11.667</v>
      </c>
      <c r="W350" s="80" t="s">
        <v>1504</v>
      </c>
      <c r="X350" s="9">
        <v>57.522256715200001</v>
      </c>
      <c r="Y350" s="64" t="s">
        <v>52</v>
      </c>
      <c r="Z350" s="9">
        <v>30.867246801071431</v>
      </c>
      <c r="AA350" s="66" t="s">
        <v>254</v>
      </c>
      <c r="AB350" s="15" t="s">
        <v>52</v>
      </c>
      <c r="AC350" s="9">
        <v>13.410989700222604</v>
      </c>
      <c r="AD350" s="78" t="s">
        <v>254</v>
      </c>
      <c r="AE350" s="80" t="s">
        <v>1504</v>
      </c>
      <c r="AF350" s="9">
        <v>12.616602295969232</v>
      </c>
      <c r="AG350" s="71" t="s">
        <v>144</v>
      </c>
      <c r="AH350" s="15" t="s">
        <v>52</v>
      </c>
      <c r="AI350" s="9">
        <v>12.142070046127845</v>
      </c>
      <c r="AJ350" s="66" t="s">
        <v>254</v>
      </c>
      <c r="AK350" s="289" t="s">
        <v>126</v>
      </c>
      <c r="AL350" s="9">
        <v>12.007962948844222</v>
      </c>
      <c r="AM350" s="71" t="s">
        <v>144</v>
      </c>
      <c r="AN350" s="71" t="s">
        <v>1504</v>
      </c>
      <c r="AO350" s="9">
        <v>11.546566041126606</v>
      </c>
      <c r="AP350" s="60"/>
      <c r="AQ350" s="66" t="s">
        <v>254</v>
      </c>
      <c r="AR350" s="9">
        <v>4.6739466864880006</v>
      </c>
      <c r="AS350" s="66" t="s">
        <v>254</v>
      </c>
      <c r="AT350" s="9">
        <v>4.6739466864880006</v>
      </c>
      <c r="AU350" s="80" t="s">
        <v>144</v>
      </c>
      <c r="AV350" s="9">
        <v>4.5</v>
      </c>
      <c r="AW350" s="15" t="s">
        <v>52</v>
      </c>
      <c r="AX350" s="9">
        <v>100.50272275905</v>
      </c>
      <c r="AY350" s="64" t="s">
        <v>52</v>
      </c>
      <c r="AZ350" s="9">
        <v>1.435753182272143</v>
      </c>
      <c r="BA350" s="78" t="s">
        <v>254</v>
      </c>
      <c r="BB350" s="64" t="s">
        <v>52</v>
      </c>
      <c r="BC350" s="9">
        <v>8.6121155661823288</v>
      </c>
      <c r="BD350" s="78" t="s">
        <v>254</v>
      </c>
      <c r="BE350" s="80" t="s">
        <v>1504</v>
      </c>
      <c r="BF350" s="9">
        <v>7.9979936885485712</v>
      </c>
      <c r="BG350" s="80" t="s">
        <v>144</v>
      </c>
      <c r="BH350" s="15" t="s">
        <v>52</v>
      </c>
      <c r="BI350" s="9">
        <v>7.8349443347118788</v>
      </c>
      <c r="BJ350" s="66" t="s">
        <v>254</v>
      </c>
      <c r="BK350" s="289" t="s">
        <v>126</v>
      </c>
      <c r="BL350" s="9">
        <v>7.7793063857814291</v>
      </c>
      <c r="BM350" s="71" t="s">
        <v>144</v>
      </c>
      <c r="BN350" s="80" t="s">
        <v>1504</v>
      </c>
      <c r="BO350" s="9">
        <v>6.9429302671302331</v>
      </c>
    </row>
    <row r="351" spans="1:67" x14ac:dyDescent="0.45">
      <c r="A351" s="10">
        <v>330</v>
      </c>
      <c r="B351" s="10" t="s">
        <v>89</v>
      </c>
      <c r="C351" s="80" t="s">
        <v>2173</v>
      </c>
      <c r="D351" s="291" t="s">
        <v>1919</v>
      </c>
      <c r="E351" s="78" t="s">
        <v>2312</v>
      </c>
      <c r="F351" s="63" t="s">
        <v>2224</v>
      </c>
      <c r="G351" s="242"/>
      <c r="H351" s="290" t="s">
        <v>1992</v>
      </c>
      <c r="I351" s="62">
        <v>173.86600220000003</v>
      </c>
      <c r="J351" s="62">
        <v>144.62490183</v>
      </c>
      <c r="K351" s="62">
        <v>162.01150205000002</v>
      </c>
      <c r="L351" s="49">
        <v>2661.393740402596</v>
      </c>
      <c r="M351" s="49">
        <v>2550.756855837938</v>
      </c>
      <c r="N351" s="49">
        <v>2465.5681306723927</v>
      </c>
      <c r="O351" s="61">
        <v>20.470372033538077</v>
      </c>
      <c r="P351" s="60"/>
      <c r="Q351" s="66" t="s">
        <v>88</v>
      </c>
      <c r="R351" s="9">
        <v>16.647940198000001</v>
      </c>
      <c r="S351" s="66" t="s">
        <v>88</v>
      </c>
      <c r="T351" s="9">
        <v>15.134491089090908</v>
      </c>
      <c r="U351" s="71" t="s">
        <v>144</v>
      </c>
      <c r="V351" s="9">
        <v>11.667</v>
      </c>
      <c r="W351" s="80" t="s">
        <v>79</v>
      </c>
      <c r="X351" s="9">
        <v>147.04744184800001</v>
      </c>
      <c r="Y351" s="64" t="s">
        <v>52</v>
      </c>
      <c r="Z351" s="9">
        <v>44.895071978571437</v>
      </c>
      <c r="AA351" s="66" t="s">
        <v>88</v>
      </c>
      <c r="AB351" s="71" t="s">
        <v>79</v>
      </c>
      <c r="AC351" s="9">
        <v>20.644209775238096</v>
      </c>
      <c r="AD351" s="78" t="s">
        <v>88</v>
      </c>
      <c r="AE351" s="80" t="s">
        <v>153</v>
      </c>
      <c r="AF351" s="9">
        <v>20.3692611187643</v>
      </c>
      <c r="AG351" s="66" t="s">
        <v>88</v>
      </c>
      <c r="AH351" s="66" t="s">
        <v>262</v>
      </c>
      <c r="AI351" s="9">
        <v>19.885238214368187</v>
      </c>
      <c r="AJ351" s="66" t="s">
        <v>88</v>
      </c>
      <c r="AK351" s="64" t="s">
        <v>52</v>
      </c>
      <c r="AL351" s="9">
        <v>19.498144920054308</v>
      </c>
      <c r="AM351" s="71" t="s">
        <v>144</v>
      </c>
      <c r="AN351" s="71" t="s">
        <v>79</v>
      </c>
      <c r="AO351" s="9">
        <v>19.070408161746034</v>
      </c>
      <c r="AP351" s="60"/>
      <c r="AQ351" s="66" t="s">
        <v>88</v>
      </c>
      <c r="AR351" s="9">
        <v>13.205393354440002</v>
      </c>
      <c r="AS351" s="66" t="s">
        <v>88</v>
      </c>
      <c r="AT351" s="9">
        <v>4.4017977848133336</v>
      </c>
      <c r="AU351" s="80" t="s">
        <v>144</v>
      </c>
      <c r="AV351" s="9">
        <v>4.5</v>
      </c>
      <c r="AW351" s="71" t="s">
        <v>79</v>
      </c>
      <c r="AX351" s="9">
        <v>163.73857805920002</v>
      </c>
      <c r="AY351" s="80" t="s">
        <v>79</v>
      </c>
      <c r="AZ351" s="9">
        <v>2.5190550470646156</v>
      </c>
      <c r="BA351" s="80" t="s">
        <v>144</v>
      </c>
      <c r="BB351" s="80" t="s">
        <v>79</v>
      </c>
      <c r="BC351" s="9">
        <v>12.971923682582736</v>
      </c>
      <c r="BD351" s="78" t="s">
        <v>88</v>
      </c>
      <c r="BE351" s="80" t="s">
        <v>79</v>
      </c>
      <c r="BF351" s="9">
        <v>12.174323651856586</v>
      </c>
      <c r="BG351" s="80" t="s">
        <v>144</v>
      </c>
      <c r="BH351" s="71" t="s">
        <v>153</v>
      </c>
      <c r="BI351" s="9">
        <v>11.649167619588239</v>
      </c>
      <c r="BJ351" s="71" t="s">
        <v>144</v>
      </c>
      <c r="BK351" s="64" t="s">
        <v>52</v>
      </c>
      <c r="BL351" s="9">
        <v>11.315727908285906</v>
      </c>
      <c r="BM351" s="66" t="s">
        <v>88</v>
      </c>
      <c r="BN351" s="80" t="s">
        <v>153</v>
      </c>
      <c r="BO351" s="9">
        <v>11.181919828218287</v>
      </c>
    </row>
    <row r="352" spans="1:67" x14ac:dyDescent="0.45">
      <c r="A352" s="10">
        <v>331</v>
      </c>
      <c r="B352" s="10" t="s">
        <v>843</v>
      </c>
      <c r="C352" s="79" t="s">
        <v>1983</v>
      </c>
      <c r="D352" s="65"/>
      <c r="E352" s="63" t="s">
        <v>2265</v>
      </c>
      <c r="F352" s="80" t="s">
        <v>2266</v>
      </c>
      <c r="G352" s="242"/>
      <c r="H352" s="10"/>
      <c r="I352" s="62">
        <v>135.14130171000002</v>
      </c>
      <c r="J352" s="62">
        <v>70.336700890000003</v>
      </c>
      <c r="K352" s="62">
        <v>120.12560152</v>
      </c>
      <c r="L352" s="49">
        <v>1242.2153244166279</v>
      </c>
      <c r="M352" s="49">
        <v>1092.455557116908</v>
      </c>
      <c r="N352" s="49">
        <v>985.75569476955604</v>
      </c>
      <c r="O352" s="61">
        <v>7.8940005479751454</v>
      </c>
      <c r="P352" s="60"/>
      <c r="Q352" s="67" t="s">
        <v>266</v>
      </c>
      <c r="R352" s="9">
        <v>5.7299455598500009</v>
      </c>
      <c r="S352" s="67" t="s">
        <v>266</v>
      </c>
      <c r="T352" s="9">
        <v>8.1856365140714296</v>
      </c>
      <c r="U352" s="54" t="s">
        <v>92</v>
      </c>
      <c r="V352" s="9">
        <v>11.667</v>
      </c>
      <c r="W352" s="79" t="s">
        <v>23</v>
      </c>
      <c r="X352" s="9">
        <v>73.976302923400013</v>
      </c>
      <c r="Y352" s="64" t="s">
        <v>52</v>
      </c>
      <c r="Z352" s="9">
        <v>35.213896856071436</v>
      </c>
      <c r="AA352" s="67" t="s">
        <v>266</v>
      </c>
      <c r="AB352" s="72" t="s">
        <v>23</v>
      </c>
      <c r="AC352" s="9">
        <v>15.740281386732978</v>
      </c>
      <c r="AD352" s="63" t="s">
        <v>92</v>
      </c>
      <c r="AE352" s="79" t="s">
        <v>23</v>
      </c>
      <c r="AF352" s="9">
        <v>15.285492688823654</v>
      </c>
      <c r="AG352" s="67" t="s">
        <v>266</v>
      </c>
      <c r="AH352" s="72" t="s">
        <v>264</v>
      </c>
      <c r="AI352" s="9">
        <v>13.84812014558306</v>
      </c>
      <c r="AJ352" s="67" t="s">
        <v>266</v>
      </c>
      <c r="AK352" s="64" t="s">
        <v>52</v>
      </c>
      <c r="AL352" s="9">
        <v>13.416912709297238</v>
      </c>
      <c r="AM352" s="54" t="s">
        <v>92</v>
      </c>
      <c r="AN352" s="72" t="s">
        <v>264</v>
      </c>
      <c r="AO352" s="9">
        <v>13.404250481511047</v>
      </c>
      <c r="AP352" s="60"/>
      <c r="AQ352" s="67" t="s">
        <v>266</v>
      </c>
      <c r="AR352" s="9">
        <v>5.3920923055750007</v>
      </c>
      <c r="AS352" s="67" t="s">
        <v>266</v>
      </c>
      <c r="AT352" s="9">
        <v>2.6960461527875004</v>
      </c>
      <c r="AU352" s="76" t="s">
        <v>266</v>
      </c>
      <c r="AV352" s="9">
        <v>3.5</v>
      </c>
      <c r="AW352" s="15" t="s">
        <v>52</v>
      </c>
      <c r="AX352" s="9">
        <v>115.19439994495002</v>
      </c>
      <c r="AY352" s="79" t="s">
        <v>23</v>
      </c>
      <c r="AZ352" s="9">
        <v>1.9173838760084003</v>
      </c>
      <c r="BA352" s="76" t="s">
        <v>266</v>
      </c>
      <c r="BB352" s="79" t="s">
        <v>23</v>
      </c>
      <c r="BC352" s="9">
        <v>8.7914857185204696</v>
      </c>
      <c r="BD352" s="76" t="s">
        <v>266</v>
      </c>
      <c r="BE352" s="64" t="s">
        <v>52</v>
      </c>
      <c r="BF352" s="9">
        <v>8.0531106190809538</v>
      </c>
      <c r="BG352" s="76" t="s">
        <v>266</v>
      </c>
      <c r="BH352" s="72" t="s">
        <v>264</v>
      </c>
      <c r="BI352" s="9">
        <v>7.2242876006681627</v>
      </c>
      <c r="BJ352" s="54" t="s">
        <v>92</v>
      </c>
      <c r="BK352" s="79" t="s">
        <v>23</v>
      </c>
      <c r="BL352" s="9">
        <v>7.1413012449978313</v>
      </c>
      <c r="BM352" s="54" t="s">
        <v>92</v>
      </c>
      <c r="BN352" s="64" t="s">
        <v>52</v>
      </c>
      <c r="BO352" s="9">
        <v>6.4769470993414391</v>
      </c>
    </row>
    <row r="353" spans="1:67" x14ac:dyDescent="0.45">
      <c r="A353" s="10">
        <v>332</v>
      </c>
      <c r="B353" s="10" t="s">
        <v>192</v>
      </c>
      <c r="C353" s="79" t="s">
        <v>2162</v>
      </c>
      <c r="D353" s="289" t="s">
        <v>1887</v>
      </c>
      <c r="E353" s="58" t="s">
        <v>2319</v>
      </c>
      <c r="F353" s="80" t="s">
        <v>2320</v>
      </c>
      <c r="G353" s="242" t="s">
        <v>1925</v>
      </c>
      <c r="H353" s="10"/>
      <c r="I353" s="62">
        <v>186.51080236000001</v>
      </c>
      <c r="J353" s="62">
        <v>102.73900130000001</v>
      </c>
      <c r="K353" s="62">
        <v>147.78610187000001</v>
      </c>
      <c r="L353" s="49">
        <v>2298.2033706058983</v>
      </c>
      <c r="M353" s="49">
        <v>2001.6214638355127</v>
      </c>
      <c r="N353" s="49">
        <v>1792.159848321146</v>
      </c>
      <c r="O353" s="61">
        <v>13.768803401570473</v>
      </c>
      <c r="P353" s="60"/>
      <c r="Q353" s="54" t="s">
        <v>171</v>
      </c>
      <c r="R353" s="9">
        <v>10.325540118000001</v>
      </c>
      <c r="S353" s="54" t="s">
        <v>171</v>
      </c>
      <c r="T353" s="9">
        <v>12.906925147500001</v>
      </c>
      <c r="U353" s="67" t="s">
        <v>266</v>
      </c>
      <c r="V353" s="9">
        <v>11.429</v>
      </c>
      <c r="W353" s="79" t="s">
        <v>23</v>
      </c>
      <c r="X353" s="9">
        <v>101.7158332744</v>
      </c>
      <c r="Y353" s="64" t="s">
        <v>52</v>
      </c>
      <c r="Z353" s="9">
        <v>48.056272018571434</v>
      </c>
      <c r="AA353" s="67" t="s">
        <v>266</v>
      </c>
      <c r="AB353" s="72" t="s">
        <v>23</v>
      </c>
      <c r="AC353" s="9">
        <v>22.498196257189964</v>
      </c>
      <c r="AD353" s="63" t="s">
        <v>171</v>
      </c>
      <c r="AE353" s="79" t="s">
        <v>23</v>
      </c>
      <c r="AF353" s="9">
        <v>21.104602041594504</v>
      </c>
      <c r="AG353" s="67" t="s">
        <v>266</v>
      </c>
      <c r="AH353" s="55" t="s">
        <v>267</v>
      </c>
      <c r="AI353" s="9">
        <v>19.807624972650174</v>
      </c>
      <c r="AJ353" s="67" t="s">
        <v>266</v>
      </c>
      <c r="AK353" s="76" t="s">
        <v>160</v>
      </c>
      <c r="AL353" s="9">
        <v>19.760579085057628</v>
      </c>
      <c r="AM353" s="67" t="s">
        <v>266</v>
      </c>
      <c r="AN353" s="15" t="s">
        <v>52</v>
      </c>
      <c r="AO353" s="9">
        <v>19.478003915023042</v>
      </c>
      <c r="AP353" s="60"/>
      <c r="AQ353" s="54" t="s">
        <v>2496</v>
      </c>
      <c r="AR353" s="9">
        <v>8.2739212920400007</v>
      </c>
      <c r="AS353" s="54" t="s">
        <v>2496</v>
      </c>
      <c r="AT353" s="9">
        <v>4.1369606460200004</v>
      </c>
      <c r="AU353" s="63" t="s">
        <v>2497</v>
      </c>
      <c r="AV353" s="9">
        <v>3.5</v>
      </c>
      <c r="AW353" s="15" t="s">
        <v>52</v>
      </c>
      <c r="AX353" s="9">
        <v>158.60162799420002</v>
      </c>
      <c r="AY353" s="79" t="s">
        <v>23</v>
      </c>
      <c r="AZ353" s="9">
        <v>2.6386116651344</v>
      </c>
      <c r="BA353" s="63" t="s">
        <v>171</v>
      </c>
      <c r="BB353" s="79" t="s">
        <v>23</v>
      </c>
      <c r="BC353" s="9">
        <v>12.49729109718729</v>
      </c>
      <c r="BD353" s="76" t="s">
        <v>266</v>
      </c>
      <c r="BE353" s="79" t="s">
        <v>23</v>
      </c>
      <c r="BF353" s="9">
        <v>12.49729109718729</v>
      </c>
      <c r="BG353" s="63" t="s">
        <v>171</v>
      </c>
      <c r="BH353" s="67" t="s">
        <v>160</v>
      </c>
      <c r="BI353" s="9">
        <v>11.545563077668039</v>
      </c>
      <c r="BJ353" s="67" t="s">
        <v>266</v>
      </c>
      <c r="BK353" s="76" t="s">
        <v>160</v>
      </c>
      <c r="BL353" s="9">
        <v>11.545563077668039</v>
      </c>
      <c r="BM353" s="54" t="s">
        <v>171</v>
      </c>
      <c r="BN353" s="64" t="s">
        <v>52</v>
      </c>
      <c r="BO353" s="9">
        <v>11.492420995933335</v>
      </c>
    </row>
    <row r="354" spans="1:67" x14ac:dyDescent="0.45">
      <c r="A354" s="10">
        <v>333</v>
      </c>
      <c r="B354" s="10" t="s">
        <v>840</v>
      </c>
      <c r="C354" s="64" t="s">
        <v>2110</v>
      </c>
      <c r="D354" s="65"/>
      <c r="E354" s="56" t="s">
        <v>2208</v>
      </c>
      <c r="F354" s="289" t="s">
        <v>2118</v>
      </c>
      <c r="G354" s="80" t="s">
        <v>2191</v>
      </c>
      <c r="H354" s="10"/>
      <c r="I354" s="62">
        <v>71.917300910000009</v>
      </c>
      <c r="J354" s="62">
        <v>116.17410147000001</v>
      </c>
      <c r="K354" s="62">
        <v>113.01290143000001</v>
      </c>
      <c r="L354" s="49">
        <v>824.04713406321719</v>
      </c>
      <c r="M354" s="49">
        <v>962.45511419705178</v>
      </c>
      <c r="N354" s="49">
        <v>1089.7408460180718</v>
      </c>
      <c r="O354" s="61">
        <v>11.762656256633106</v>
      </c>
      <c r="P354" s="60"/>
      <c r="Q354" s="16" t="s">
        <v>1515</v>
      </c>
      <c r="R354" s="9">
        <v>5.3150380546000005</v>
      </c>
      <c r="S354" s="16" t="s">
        <v>1515</v>
      </c>
      <c r="T354" s="9">
        <v>5.3150380546000005</v>
      </c>
      <c r="U354" s="68" t="s">
        <v>277</v>
      </c>
      <c r="V354" s="9">
        <v>12.727</v>
      </c>
      <c r="W354" s="291" t="s">
        <v>189</v>
      </c>
      <c r="X354" s="9">
        <v>33.362785409500006</v>
      </c>
      <c r="Y354" s="287" t="s">
        <v>203</v>
      </c>
      <c r="Z354" s="9">
        <v>10.305295541791669</v>
      </c>
      <c r="AA354" s="16" t="s">
        <v>1515</v>
      </c>
      <c r="AB354" s="16" t="s">
        <v>203</v>
      </c>
      <c r="AC354" s="9">
        <v>7.4039830492383727</v>
      </c>
      <c r="AD354" s="287" t="s">
        <v>1515</v>
      </c>
      <c r="AE354" s="291" t="s">
        <v>189</v>
      </c>
      <c r="AF354" s="9">
        <v>7.2214428533132535</v>
      </c>
      <c r="AG354" s="68" t="s">
        <v>277</v>
      </c>
      <c r="AH354" s="16" t="s">
        <v>203</v>
      </c>
      <c r="AI354" s="9">
        <v>6.7668073731148004</v>
      </c>
      <c r="AJ354" s="68" t="s">
        <v>277</v>
      </c>
      <c r="AK354" s="291" t="s">
        <v>189</v>
      </c>
      <c r="AL354" s="9">
        <v>6.5307667742391313</v>
      </c>
      <c r="AM354" s="16" t="s">
        <v>1515</v>
      </c>
      <c r="AN354" s="14" t="s">
        <v>1532</v>
      </c>
      <c r="AO354" s="9">
        <v>6.0674445392396317</v>
      </c>
      <c r="AP354" s="60"/>
      <c r="AQ354" s="16" t="s">
        <v>1515</v>
      </c>
      <c r="AR354" s="9">
        <v>4.3657296825880003</v>
      </c>
      <c r="AS354" s="16" t="s">
        <v>1515</v>
      </c>
      <c r="AT354" s="9">
        <v>2.1828648412940002</v>
      </c>
      <c r="AU354" s="77" t="s">
        <v>277</v>
      </c>
      <c r="AV354" s="9">
        <v>3</v>
      </c>
      <c r="AW354" s="74" t="s">
        <v>189</v>
      </c>
      <c r="AX354" s="9">
        <v>43.071621032350009</v>
      </c>
      <c r="AY354" s="291" t="s">
        <v>189</v>
      </c>
      <c r="AZ354" s="9">
        <v>0.78312038240636384</v>
      </c>
      <c r="BA354" s="287" t="s">
        <v>1515</v>
      </c>
      <c r="BB354" s="291" t="s">
        <v>189</v>
      </c>
      <c r="BC354" s="9">
        <v>3.9606368496007831</v>
      </c>
      <c r="BD354" s="287" t="s">
        <v>1515</v>
      </c>
      <c r="BE354" s="65" t="s">
        <v>1532</v>
      </c>
      <c r="BF354" s="9">
        <v>3.8428388977548429</v>
      </c>
      <c r="BG354" s="287" t="s">
        <v>1515</v>
      </c>
      <c r="BH354" s="16" t="s">
        <v>203</v>
      </c>
      <c r="BI354" s="9">
        <v>3.7444257491411586</v>
      </c>
      <c r="BJ354" s="68" t="s">
        <v>277</v>
      </c>
      <c r="BK354" s="291" t="s">
        <v>189</v>
      </c>
      <c r="BL354" s="9">
        <v>3.2827400268262941</v>
      </c>
      <c r="BM354" s="68" t="s">
        <v>277</v>
      </c>
      <c r="BN354" s="65" t="s">
        <v>1532</v>
      </c>
      <c r="BO354" s="9">
        <v>3.1505583319953132</v>
      </c>
    </row>
    <row r="355" spans="1:67" x14ac:dyDescent="0.45">
      <c r="A355" s="10">
        <v>334</v>
      </c>
      <c r="B355" s="10" t="s">
        <v>255</v>
      </c>
      <c r="C355" s="287" t="s">
        <v>2140</v>
      </c>
      <c r="D355" s="291" t="s">
        <v>1919</v>
      </c>
      <c r="E355" s="56" t="s">
        <v>2280</v>
      </c>
      <c r="F355" s="58" t="s">
        <v>2281</v>
      </c>
      <c r="G355" s="80" t="s">
        <v>2179</v>
      </c>
      <c r="H355" s="10"/>
      <c r="I355" s="62">
        <v>123.28680156000001</v>
      </c>
      <c r="J355" s="62">
        <v>170.70480216000001</v>
      </c>
      <c r="K355" s="62">
        <v>154.89880196000001</v>
      </c>
      <c r="L355" s="49">
        <v>2004.7650593178146</v>
      </c>
      <c r="M355" s="49">
        <v>2198.5697864639942</v>
      </c>
      <c r="N355" s="49">
        <v>2367.0186086885542</v>
      </c>
      <c r="O355" s="61">
        <v>22.586367882506561</v>
      </c>
      <c r="P355" s="60"/>
      <c r="Q355" s="16" t="s">
        <v>1515</v>
      </c>
      <c r="R355" s="9">
        <v>8.3972080935999998</v>
      </c>
      <c r="S355" s="66" t="s">
        <v>254</v>
      </c>
      <c r="T355" s="9">
        <v>10.876649712320001</v>
      </c>
      <c r="U355" s="16" t="s">
        <v>1515</v>
      </c>
      <c r="V355" s="9">
        <v>10</v>
      </c>
      <c r="W355" s="78" t="s">
        <v>253</v>
      </c>
      <c r="X355" s="9">
        <v>67.574872842400012</v>
      </c>
      <c r="Y355" s="287" t="s">
        <v>229</v>
      </c>
      <c r="Z355" s="9">
        <v>30.088832374400003</v>
      </c>
      <c r="AA355" s="66" t="s">
        <v>254</v>
      </c>
      <c r="AB355" s="16" t="s">
        <v>229</v>
      </c>
      <c r="AC355" s="9">
        <v>15.534148539490909</v>
      </c>
      <c r="AD355" s="287" t="s">
        <v>1515</v>
      </c>
      <c r="AE355" s="287" t="s">
        <v>229</v>
      </c>
      <c r="AF355" s="9">
        <v>14.594815030971429</v>
      </c>
      <c r="AG355" s="66" t="s">
        <v>254</v>
      </c>
      <c r="AH355" s="66" t="s">
        <v>253</v>
      </c>
      <c r="AI355" s="9">
        <v>13.761820664406095</v>
      </c>
      <c r="AJ355" s="66" t="s">
        <v>254</v>
      </c>
      <c r="AK355" s="65" t="s">
        <v>63</v>
      </c>
      <c r="AL355" s="9">
        <v>13.397175536615386</v>
      </c>
      <c r="AM355" s="16" t="s">
        <v>1515</v>
      </c>
      <c r="AN355" s="66" t="s">
        <v>253</v>
      </c>
      <c r="AO355" s="9">
        <v>12.739641082604653</v>
      </c>
      <c r="AP355" s="60"/>
      <c r="AQ355" s="16" t="s">
        <v>1515</v>
      </c>
      <c r="AR355" s="9">
        <v>6.7698223130080013</v>
      </c>
      <c r="AS355" s="66" t="s">
        <v>254</v>
      </c>
      <c r="AT355" s="9">
        <v>4.8465482086720009</v>
      </c>
      <c r="AU355" s="78" t="s">
        <v>254</v>
      </c>
      <c r="AV355" s="9">
        <v>3</v>
      </c>
      <c r="AW355" s="14" t="s">
        <v>63</v>
      </c>
      <c r="AX355" s="9">
        <v>89.150063115400016</v>
      </c>
      <c r="AY355" s="287" t="s">
        <v>229</v>
      </c>
      <c r="AZ355" s="9">
        <v>1.7317992038542227</v>
      </c>
      <c r="BA355" s="78" t="s">
        <v>254</v>
      </c>
      <c r="BB355" s="287" t="s">
        <v>229</v>
      </c>
      <c r="BC355" s="9">
        <v>9.4143242064700026</v>
      </c>
      <c r="BD355" s="78" t="s">
        <v>254</v>
      </c>
      <c r="BE355" s="78" t="s">
        <v>253</v>
      </c>
      <c r="BF355" s="9">
        <v>8.7846808985028595</v>
      </c>
      <c r="BG355" s="78" t="s">
        <v>254</v>
      </c>
      <c r="BH355" s="14" t="s">
        <v>63</v>
      </c>
      <c r="BI355" s="9">
        <v>8.3110762185375364</v>
      </c>
      <c r="BJ355" s="16" t="s">
        <v>1515</v>
      </c>
      <c r="BK355" s="287" t="s">
        <v>229</v>
      </c>
      <c r="BL355" s="9">
        <v>7.3083876310795803</v>
      </c>
      <c r="BM355" s="16" t="s">
        <v>1515</v>
      </c>
      <c r="BN355" s="78" t="s">
        <v>253</v>
      </c>
      <c r="BO355" s="9">
        <v>6.7514080980486417</v>
      </c>
    </row>
    <row r="356" spans="1:67" x14ac:dyDescent="0.45">
      <c r="A356" s="10">
        <v>335</v>
      </c>
      <c r="B356" s="10" t="s">
        <v>239</v>
      </c>
      <c r="C356" s="64" t="s">
        <v>1889</v>
      </c>
      <c r="D356" s="65"/>
      <c r="E356" s="58" t="s">
        <v>1903</v>
      </c>
      <c r="F356" s="77"/>
      <c r="G356" s="77" t="s">
        <v>1888</v>
      </c>
      <c r="H356" s="10"/>
      <c r="I356" s="62">
        <v>187.30110237000002</v>
      </c>
      <c r="J356" s="62">
        <v>109.85170139</v>
      </c>
      <c r="K356" s="62">
        <v>151.73760192</v>
      </c>
      <c r="L356" s="49">
        <v>2418.1895237627004</v>
      </c>
      <c r="M356" s="49">
        <v>2136.1261250240959</v>
      </c>
      <c r="N356" s="49">
        <v>1934.3548042211783</v>
      </c>
      <c r="O356" s="61">
        <v>15.01879369547698</v>
      </c>
      <c r="P356" s="60"/>
      <c r="Q356" s="68" t="s">
        <v>49</v>
      </c>
      <c r="R356" s="9">
        <v>9.4285496066500016</v>
      </c>
      <c r="S356" s="68" t="s">
        <v>49</v>
      </c>
      <c r="T356" s="9">
        <v>13.469356580928574</v>
      </c>
      <c r="U356" s="69" t="s">
        <v>27</v>
      </c>
      <c r="V356" s="9">
        <v>15</v>
      </c>
      <c r="W356" s="80" t="s">
        <v>2427</v>
      </c>
      <c r="X356" s="9">
        <v>94.650551185000012</v>
      </c>
      <c r="Y356" s="58" t="s">
        <v>216</v>
      </c>
      <c r="Z356" s="9">
        <v>41.152413558695663</v>
      </c>
      <c r="AA356" s="68" t="s">
        <v>49</v>
      </c>
      <c r="AB356" s="55" t="s">
        <v>216</v>
      </c>
      <c r="AC356" s="9">
        <v>17.953232006904933</v>
      </c>
      <c r="AD356" s="289" t="s">
        <v>27</v>
      </c>
      <c r="AE356" s="58" t="s">
        <v>216</v>
      </c>
      <c r="AF356" s="9">
        <v>17.517838713115388</v>
      </c>
      <c r="AG356" s="68" t="s">
        <v>49</v>
      </c>
      <c r="AH356" s="67" t="s">
        <v>1491</v>
      </c>
      <c r="AI356" s="9">
        <v>16.457207311405114</v>
      </c>
      <c r="AJ356" s="68" t="s">
        <v>49</v>
      </c>
      <c r="AK356" s="80" t="s">
        <v>1490</v>
      </c>
      <c r="AL356" s="9">
        <v>16.44510739624209</v>
      </c>
      <c r="AM356" s="69" t="s">
        <v>27</v>
      </c>
      <c r="AN356" s="71" t="s">
        <v>1490</v>
      </c>
      <c r="AO356" s="9">
        <v>15.734006927126558</v>
      </c>
      <c r="AP356" s="60"/>
      <c r="AQ356" s="68" t="s">
        <v>49</v>
      </c>
      <c r="AR356" s="9">
        <v>8.3047429924300005</v>
      </c>
      <c r="AS356" s="68" t="s">
        <v>49</v>
      </c>
      <c r="AT356" s="9">
        <v>4.1523714962150002</v>
      </c>
      <c r="AU356" s="77" t="s">
        <v>2498</v>
      </c>
      <c r="AV356" s="9">
        <v>4</v>
      </c>
      <c r="AW356" s="71" t="s">
        <v>2499</v>
      </c>
      <c r="AX356" s="9">
        <v>122.74571654050001</v>
      </c>
      <c r="AY356" s="58" t="s">
        <v>216</v>
      </c>
      <c r="AZ356" s="9">
        <v>2.727682589788889</v>
      </c>
      <c r="BA356" s="77" t="s">
        <v>49</v>
      </c>
      <c r="BB356" s="58" t="s">
        <v>216</v>
      </c>
      <c r="BC356" s="9">
        <v>13.833460887585206</v>
      </c>
      <c r="BD356" s="289" t="s">
        <v>27</v>
      </c>
      <c r="BE356" s="58" t="s">
        <v>216</v>
      </c>
      <c r="BF356" s="9">
        <v>13.174571654050002</v>
      </c>
      <c r="BG356" s="77" t="s">
        <v>49</v>
      </c>
      <c r="BH356" s="67" t="s">
        <v>1491</v>
      </c>
      <c r="BI356" s="9">
        <v>10.072421421757053</v>
      </c>
      <c r="BJ356" s="68" t="s">
        <v>49</v>
      </c>
      <c r="BK356" s="80" t="s">
        <v>1490</v>
      </c>
      <c r="BL356" s="9">
        <v>9.799673641180954</v>
      </c>
      <c r="BM356" s="69" t="s">
        <v>27</v>
      </c>
      <c r="BN356" s="76" t="s">
        <v>1491</v>
      </c>
      <c r="BO356" s="9">
        <v>9.4285496066499999</v>
      </c>
    </row>
    <row r="357" spans="1:67" x14ac:dyDescent="0.45">
      <c r="A357" s="10">
        <v>336</v>
      </c>
      <c r="B357" s="10" t="s">
        <v>834</v>
      </c>
      <c r="C357" s="63" t="s">
        <v>1971</v>
      </c>
      <c r="D357" s="65"/>
      <c r="E357" s="80" t="s">
        <v>2175</v>
      </c>
      <c r="F357" s="58" t="s">
        <v>2210</v>
      </c>
      <c r="G357" s="242"/>
      <c r="H357" s="10"/>
      <c r="I357" s="62">
        <v>166.75330211000002</v>
      </c>
      <c r="J357" s="62">
        <v>105.10990133000001</v>
      </c>
      <c r="K357" s="62">
        <v>151.73760192</v>
      </c>
      <c r="L357" s="49">
        <v>2105.9248290979858</v>
      </c>
      <c r="M357" s="49">
        <v>1919.5857833735251</v>
      </c>
      <c r="N357" s="49">
        <v>1782.4577838982448</v>
      </c>
      <c r="O357" s="61">
        <v>14.432161314152777</v>
      </c>
      <c r="P357" s="60"/>
      <c r="Q357" s="53" t="s">
        <v>1</v>
      </c>
      <c r="R357" s="9">
        <v>13.506497658250002</v>
      </c>
      <c r="S357" s="54" t="s">
        <v>171</v>
      </c>
      <c r="T357" s="9">
        <v>13.756497658250002</v>
      </c>
      <c r="U357" s="54" t="s">
        <v>171</v>
      </c>
      <c r="V357" s="9">
        <v>8.75</v>
      </c>
      <c r="W357" s="76" t="s">
        <v>91</v>
      </c>
      <c r="X357" s="9">
        <v>59.363655738500007</v>
      </c>
      <c r="Y357" s="63" t="s">
        <v>154</v>
      </c>
      <c r="Z357" s="9">
        <v>21.187172613588238</v>
      </c>
      <c r="AA357" s="54" t="s">
        <v>171</v>
      </c>
      <c r="AB357" s="54" t="s">
        <v>154</v>
      </c>
      <c r="AC357" s="9">
        <v>16.049281546802941</v>
      </c>
      <c r="AD357" s="63" t="s">
        <v>171</v>
      </c>
      <c r="AE357" s="76" t="s">
        <v>91</v>
      </c>
      <c r="AF357" s="9">
        <v>15.945357222612094</v>
      </c>
      <c r="AG357" s="54" t="s">
        <v>171</v>
      </c>
      <c r="AH357" s="15" t="s">
        <v>1495</v>
      </c>
      <c r="AI357" s="9">
        <v>15.415653768296666</v>
      </c>
      <c r="AJ357" s="53" t="s">
        <v>1</v>
      </c>
      <c r="AK357" s="76" t="s">
        <v>91</v>
      </c>
      <c r="AL357" s="9">
        <v>14.657373229873025</v>
      </c>
      <c r="AM357" s="53" t="s">
        <v>1</v>
      </c>
      <c r="AN357" s="54" t="s">
        <v>154</v>
      </c>
      <c r="AO357" s="9">
        <v>14.461440138161292</v>
      </c>
      <c r="AP357" s="60"/>
      <c r="AQ357" s="53" t="s">
        <v>1</v>
      </c>
      <c r="AR357" s="9">
        <v>10.755068173435001</v>
      </c>
      <c r="AS357" s="54" t="s">
        <v>171</v>
      </c>
      <c r="AT357" s="9">
        <v>4.4020272693740008</v>
      </c>
      <c r="AU357" s="63" t="s">
        <v>171</v>
      </c>
      <c r="AV357" s="9">
        <v>3.5</v>
      </c>
      <c r="AW357" s="67" t="s">
        <v>91</v>
      </c>
      <c r="AX357" s="9">
        <v>76.872752460050009</v>
      </c>
      <c r="AY357" s="76" t="s">
        <v>91</v>
      </c>
      <c r="AZ357" s="9">
        <v>1.7082833880011112</v>
      </c>
      <c r="BA357" s="63" t="s">
        <v>171</v>
      </c>
      <c r="BB357" s="76" t="s">
        <v>91</v>
      </c>
      <c r="BC357" s="9">
        <v>9.6318734171547433</v>
      </c>
      <c r="BD357" s="63" t="s">
        <v>171</v>
      </c>
      <c r="BE357" s="64" t="s">
        <v>1495</v>
      </c>
      <c r="BF357" s="9">
        <v>8.8496800928243324</v>
      </c>
      <c r="BG357" s="63" t="s">
        <v>171</v>
      </c>
      <c r="BH357" s="54" t="s">
        <v>154</v>
      </c>
      <c r="BI357" s="9">
        <v>8.8224820865509113</v>
      </c>
      <c r="BJ357" s="53" t="s">
        <v>1</v>
      </c>
      <c r="BK357" s="76" t="s">
        <v>91</v>
      </c>
      <c r="BL357" s="9">
        <v>6.7036495217367031</v>
      </c>
      <c r="BM357" s="53" t="s">
        <v>1</v>
      </c>
      <c r="BN357" s="63" t="s">
        <v>154</v>
      </c>
      <c r="BO357" s="9">
        <v>6.2575636722535597</v>
      </c>
    </row>
    <row r="358" spans="1:67" x14ac:dyDescent="0.45">
      <c r="A358" s="10">
        <v>337</v>
      </c>
      <c r="B358" s="10" t="s">
        <v>831</v>
      </c>
      <c r="C358" s="56" t="s">
        <v>2174</v>
      </c>
      <c r="D358" s="65"/>
      <c r="E358" s="80" t="s">
        <v>2334</v>
      </c>
      <c r="F358" s="64" t="s">
        <v>2335</v>
      </c>
      <c r="G358" s="242"/>
      <c r="H358" s="10"/>
      <c r="I358" s="62">
        <v>152.52790193000001</v>
      </c>
      <c r="J358" s="62">
        <v>132.77040168000002</v>
      </c>
      <c r="K358" s="62">
        <v>175.44660222000002</v>
      </c>
      <c r="L358" s="49">
        <v>2327.9433731635777</v>
      </c>
      <c r="M358" s="49">
        <v>2328.4326742622916</v>
      </c>
      <c r="N358" s="49">
        <v>2328.8241891880816</v>
      </c>
      <c r="O358" s="61">
        <v>20.563845785159398</v>
      </c>
      <c r="P358" s="60"/>
      <c r="Q358" s="57" t="s">
        <v>101</v>
      </c>
      <c r="R358" s="9">
        <v>19.303348231600001</v>
      </c>
      <c r="S358" s="52" t="s">
        <v>41</v>
      </c>
      <c r="T358" s="9">
        <v>13.313343265511111</v>
      </c>
      <c r="U358" s="57" t="s">
        <v>101</v>
      </c>
      <c r="V358" s="9">
        <v>9.375</v>
      </c>
      <c r="W358" s="65" t="s">
        <v>1496</v>
      </c>
      <c r="X358" s="9">
        <v>100.14313625450001</v>
      </c>
      <c r="Y358" s="242" t="s">
        <v>82</v>
      </c>
      <c r="Z358" s="9">
        <v>29.773238229357148</v>
      </c>
      <c r="AA358" s="52" t="s">
        <v>41</v>
      </c>
      <c r="AB358" s="57" t="s">
        <v>82</v>
      </c>
      <c r="AC358" s="9">
        <v>18.307367124510836</v>
      </c>
      <c r="AD358" s="242" t="s">
        <v>101</v>
      </c>
      <c r="AE358" s="242" t="s">
        <v>82</v>
      </c>
      <c r="AF358" s="9">
        <v>18.161011616500002</v>
      </c>
      <c r="AG358" s="52" t="s">
        <v>41</v>
      </c>
      <c r="AH358" s="52" t="s">
        <v>40</v>
      </c>
      <c r="AI358" s="9">
        <v>17.505386501295774</v>
      </c>
      <c r="AJ358" s="57" t="s">
        <v>101</v>
      </c>
      <c r="AK358" s="56" t="s">
        <v>40</v>
      </c>
      <c r="AL358" s="9">
        <v>17.247869754987555</v>
      </c>
      <c r="AM358" s="52" t="s">
        <v>41</v>
      </c>
      <c r="AN358" s="14" t="s">
        <v>1496</v>
      </c>
      <c r="AO358" s="9">
        <v>16.084670709132187</v>
      </c>
      <c r="AP358" s="60"/>
      <c r="AQ358" s="57" t="s">
        <v>101</v>
      </c>
      <c r="AR358" s="9">
        <v>20.035482160864003</v>
      </c>
      <c r="AS358" s="52" t="s">
        <v>41</v>
      </c>
      <c r="AT358" s="9">
        <v>5.2588705402160008</v>
      </c>
      <c r="AU358" s="242" t="s">
        <v>101</v>
      </c>
      <c r="AV358" s="9">
        <v>3</v>
      </c>
      <c r="AW358" s="14" t="s">
        <v>1496</v>
      </c>
      <c r="AX358" s="9">
        <v>129.88607713085003</v>
      </c>
      <c r="AY358" s="56" t="s">
        <v>40</v>
      </c>
      <c r="AZ358" s="9">
        <v>2.1372757956515556</v>
      </c>
      <c r="BA358" s="242" t="s">
        <v>101</v>
      </c>
      <c r="BB358" s="56" t="s">
        <v>40</v>
      </c>
      <c r="BC358" s="9">
        <v>10.706904306722501</v>
      </c>
      <c r="BD358" s="242" t="s">
        <v>101</v>
      </c>
      <c r="BE358" s="242" t="s">
        <v>82</v>
      </c>
      <c r="BF358" s="9">
        <v>10.33985588235276</v>
      </c>
      <c r="BG358" s="242" t="s">
        <v>101</v>
      </c>
      <c r="BH358" s="14" t="s">
        <v>1496</v>
      </c>
      <c r="BI358" s="9">
        <v>10.140810537091372</v>
      </c>
      <c r="BJ358" s="52" t="s">
        <v>41</v>
      </c>
      <c r="BK358" s="56" t="s">
        <v>40</v>
      </c>
      <c r="BL358" s="9">
        <v>10.044056869905685</v>
      </c>
      <c r="BM358" s="52" t="s">
        <v>41</v>
      </c>
      <c r="BN358" s="242" t="s">
        <v>82</v>
      </c>
      <c r="BO358" s="9">
        <v>9.7291190886787842</v>
      </c>
    </row>
    <row r="359" spans="1:67" x14ac:dyDescent="0.45">
      <c r="A359" s="10">
        <v>338</v>
      </c>
      <c r="B359" s="10" t="s">
        <v>829</v>
      </c>
      <c r="C359" s="56" t="s">
        <v>2174</v>
      </c>
      <c r="D359" s="65"/>
      <c r="E359" s="80" t="s">
        <v>2334</v>
      </c>
      <c r="F359" s="64" t="s">
        <v>2335</v>
      </c>
      <c r="G359" s="242"/>
      <c r="H359" s="10"/>
      <c r="I359" s="62">
        <v>152.52790193000001</v>
      </c>
      <c r="J359" s="62">
        <v>132.77040168000002</v>
      </c>
      <c r="K359" s="62">
        <v>175.44660222000002</v>
      </c>
      <c r="L359" s="49">
        <v>2327.9433731635777</v>
      </c>
      <c r="M359" s="49">
        <v>2328.4326742622916</v>
      </c>
      <c r="N359" s="49">
        <v>2328.8241891880816</v>
      </c>
      <c r="O359" s="61">
        <v>20.563845785159398</v>
      </c>
      <c r="P359" s="60"/>
      <c r="Q359" s="57" t="s">
        <v>101</v>
      </c>
      <c r="R359" s="9">
        <v>19.303348231600001</v>
      </c>
      <c r="S359" s="52" t="s">
        <v>41</v>
      </c>
      <c r="T359" s="9">
        <v>13.313343265511111</v>
      </c>
      <c r="U359" s="57" t="s">
        <v>101</v>
      </c>
      <c r="V359" s="9">
        <v>9.375</v>
      </c>
      <c r="W359" s="79" t="s">
        <v>9</v>
      </c>
      <c r="X359" s="9">
        <v>138.275111737</v>
      </c>
      <c r="Y359" s="242" t="s">
        <v>82</v>
      </c>
      <c r="Z359" s="9">
        <v>29.773238229357148</v>
      </c>
      <c r="AA359" s="52" t="s">
        <v>41</v>
      </c>
      <c r="AB359" s="57" t="s">
        <v>82</v>
      </c>
      <c r="AC359" s="9">
        <v>18.307367124510836</v>
      </c>
      <c r="AD359" s="242" t="s">
        <v>101</v>
      </c>
      <c r="AE359" s="242" t="s">
        <v>82</v>
      </c>
      <c r="AF359" s="9">
        <v>18.161011616500002</v>
      </c>
      <c r="AG359" s="52" t="s">
        <v>41</v>
      </c>
      <c r="AH359" s="52" t="s">
        <v>40</v>
      </c>
      <c r="AI359" s="9">
        <v>17.505386501295774</v>
      </c>
      <c r="AJ359" s="52" t="s">
        <v>41</v>
      </c>
      <c r="AK359" s="79" t="s">
        <v>9</v>
      </c>
      <c r="AL359" s="9">
        <v>17.282893794641303</v>
      </c>
      <c r="AM359" s="57" t="s">
        <v>101</v>
      </c>
      <c r="AN359" s="52" t="s">
        <v>40</v>
      </c>
      <c r="AO359" s="9">
        <v>17.247869754987555</v>
      </c>
      <c r="AP359" s="60"/>
      <c r="AQ359" s="57" t="s">
        <v>101</v>
      </c>
      <c r="AR359" s="9">
        <v>20.035482160864003</v>
      </c>
      <c r="AS359" s="52" t="s">
        <v>41</v>
      </c>
      <c r="AT359" s="9">
        <v>5.2588705402160008</v>
      </c>
      <c r="AU359" s="242" t="s">
        <v>101</v>
      </c>
      <c r="AV359" s="9">
        <v>3</v>
      </c>
      <c r="AW359" s="72" t="s">
        <v>9</v>
      </c>
      <c r="AX359" s="9">
        <v>149.71470438175001</v>
      </c>
      <c r="AY359" s="56" t="s">
        <v>40</v>
      </c>
      <c r="AZ359" s="9">
        <v>2.1372757956515556</v>
      </c>
      <c r="BA359" s="242" t="s">
        <v>101</v>
      </c>
      <c r="BB359" s="56" t="s">
        <v>40</v>
      </c>
      <c r="BC359" s="9">
        <v>10.706904306722501</v>
      </c>
      <c r="BD359" s="242" t="s">
        <v>101</v>
      </c>
      <c r="BE359" s="242" t="s">
        <v>82</v>
      </c>
      <c r="BF359" s="9">
        <v>10.33985588235276</v>
      </c>
      <c r="BG359" s="242" t="s">
        <v>101</v>
      </c>
      <c r="BH359" s="72" t="s">
        <v>9</v>
      </c>
      <c r="BI359" s="9">
        <v>10.239201883885904</v>
      </c>
      <c r="BJ359" s="52" t="s">
        <v>41</v>
      </c>
      <c r="BK359" s="56" t="s">
        <v>40</v>
      </c>
      <c r="BL359" s="9">
        <v>10.044056869905685</v>
      </c>
      <c r="BM359" s="52" t="s">
        <v>41</v>
      </c>
      <c r="BN359" s="242" t="s">
        <v>82</v>
      </c>
      <c r="BO359" s="9">
        <v>9.7291190886787842</v>
      </c>
    </row>
    <row r="360" spans="1:67" x14ac:dyDescent="0.45">
      <c r="A360" s="10">
        <v>339</v>
      </c>
      <c r="B360" s="10" t="s">
        <v>826</v>
      </c>
      <c r="C360" s="80" t="s">
        <v>2146</v>
      </c>
      <c r="D360" s="79" t="s">
        <v>1983</v>
      </c>
      <c r="E360" s="58"/>
      <c r="F360" s="63" t="s">
        <v>2292</v>
      </c>
      <c r="G360" s="242"/>
      <c r="H360" s="10"/>
      <c r="I360" s="62">
        <v>85.352401080000007</v>
      </c>
      <c r="J360" s="62">
        <v>76.659100970000011</v>
      </c>
      <c r="K360" s="62">
        <v>120.12560152</v>
      </c>
      <c r="L360" s="49">
        <v>819.05938597264753</v>
      </c>
      <c r="M360" s="49">
        <v>851.68047949187826</v>
      </c>
      <c r="N360" s="49">
        <v>878.71033585565363</v>
      </c>
      <c r="O360" s="61">
        <v>8.5530513861882618</v>
      </c>
      <c r="P360" s="60"/>
      <c r="Q360" s="71" t="s">
        <v>2403</v>
      </c>
      <c r="R360" s="9">
        <v>3.5605720324000001</v>
      </c>
      <c r="S360" s="73" t="s">
        <v>121</v>
      </c>
      <c r="T360" s="9">
        <v>7.1211440648000002</v>
      </c>
      <c r="U360" s="71" t="s">
        <v>144</v>
      </c>
      <c r="V360" s="9">
        <v>11.667</v>
      </c>
      <c r="W360" s="291" t="s">
        <v>189</v>
      </c>
      <c r="X360" s="9">
        <v>39.408580486000005</v>
      </c>
      <c r="Y360" s="288" t="s">
        <v>306</v>
      </c>
      <c r="Z360" s="9">
        <v>14.003010696842106</v>
      </c>
      <c r="AA360" s="73" t="s">
        <v>121</v>
      </c>
      <c r="AB360" s="73" t="s">
        <v>306</v>
      </c>
      <c r="AC360" s="9">
        <v>9.6196561541401273</v>
      </c>
      <c r="AD360" s="288" t="s">
        <v>121</v>
      </c>
      <c r="AE360" s="80" t="s">
        <v>99</v>
      </c>
      <c r="AF360" s="9">
        <v>9.39114306018935</v>
      </c>
      <c r="AG360" s="71" t="s">
        <v>144</v>
      </c>
      <c r="AH360" s="73" t="s">
        <v>306</v>
      </c>
      <c r="AI360" s="9">
        <v>9.156930230670671</v>
      </c>
      <c r="AJ360" s="73" t="s">
        <v>121</v>
      </c>
      <c r="AK360" s="291" t="s">
        <v>189</v>
      </c>
      <c r="AL360" s="9">
        <v>9.0378675674698794</v>
      </c>
      <c r="AM360" s="71" t="s">
        <v>144</v>
      </c>
      <c r="AN360" s="71" t="s">
        <v>99</v>
      </c>
      <c r="AO360" s="9">
        <v>8.943207227372115</v>
      </c>
      <c r="AP360" s="60"/>
      <c r="AQ360" s="71" t="s">
        <v>2403</v>
      </c>
      <c r="AR360" s="9">
        <v>2.997246185272</v>
      </c>
      <c r="AS360" s="73" t="s">
        <v>121</v>
      </c>
      <c r="AT360" s="9">
        <v>2.997246185272</v>
      </c>
      <c r="AU360" s="80" t="s">
        <v>144</v>
      </c>
      <c r="AV360" s="9">
        <v>4.5</v>
      </c>
      <c r="AW360" s="74" t="s">
        <v>189</v>
      </c>
      <c r="AX360" s="9">
        <v>50.931154631800005</v>
      </c>
      <c r="AY360" s="288" t="s">
        <v>306</v>
      </c>
      <c r="AZ360" s="9">
        <v>0.97964104060571444</v>
      </c>
      <c r="BA360" s="288" t="s">
        <v>121</v>
      </c>
      <c r="BB360" s="291" t="s">
        <v>189</v>
      </c>
      <c r="BC360" s="9">
        <v>5.4765862773337943</v>
      </c>
      <c r="BD360" s="288" t="s">
        <v>121</v>
      </c>
      <c r="BE360" s="288" t="s">
        <v>306</v>
      </c>
      <c r="BF360" s="9">
        <v>5.4675243617926323</v>
      </c>
      <c r="BG360" s="288" t="s">
        <v>121</v>
      </c>
      <c r="BH360" s="71" t="s">
        <v>99</v>
      </c>
      <c r="BI360" s="9">
        <v>5.4125206418800005</v>
      </c>
      <c r="BJ360" s="71" t="s">
        <v>144</v>
      </c>
      <c r="BK360" s="291" t="s">
        <v>189</v>
      </c>
      <c r="BL360" s="9">
        <v>5.237217914925715</v>
      </c>
      <c r="BM360" s="71" t="s">
        <v>144</v>
      </c>
      <c r="BN360" s="288" t="s">
        <v>306</v>
      </c>
      <c r="BO360" s="9">
        <v>5.2340575224724057</v>
      </c>
    </row>
    <row r="361" spans="1:67" x14ac:dyDescent="0.45">
      <c r="A361" s="10">
        <v>340</v>
      </c>
      <c r="B361" s="10" t="s">
        <v>145</v>
      </c>
      <c r="C361" s="80" t="s">
        <v>2146</v>
      </c>
      <c r="D361" s="79" t="s">
        <v>1983</v>
      </c>
      <c r="E361" s="58"/>
      <c r="F361" s="63" t="s">
        <v>2292</v>
      </c>
      <c r="G361" s="242"/>
      <c r="H361" s="10"/>
      <c r="I361" s="62">
        <v>131.18980166</v>
      </c>
      <c r="J361" s="62">
        <v>123.28680156000001</v>
      </c>
      <c r="K361" s="62">
        <v>203.10710257000002</v>
      </c>
      <c r="L361" s="49">
        <v>2075.9692856276943</v>
      </c>
      <c r="M361" s="49">
        <v>2209.8417857069553</v>
      </c>
      <c r="N361" s="49">
        <v>2323.1293274685263</v>
      </c>
      <c r="O361" s="61">
        <v>22.292102974234613</v>
      </c>
      <c r="P361" s="60"/>
      <c r="Q361" s="71" t="s">
        <v>2403</v>
      </c>
      <c r="R361" s="9">
        <v>4.9356940497999995</v>
      </c>
      <c r="S361" s="73" t="s">
        <v>121</v>
      </c>
      <c r="T361" s="9">
        <v>9.871388099599999</v>
      </c>
      <c r="U361" s="71" t="s">
        <v>144</v>
      </c>
      <c r="V361" s="9">
        <v>11.667</v>
      </c>
      <c r="W361" s="291" t="s">
        <v>132</v>
      </c>
      <c r="X361" s="9">
        <v>86.273371079</v>
      </c>
      <c r="Y361" s="291" t="s">
        <v>132</v>
      </c>
      <c r="Z361" s="9">
        <v>27.830119702903225</v>
      </c>
      <c r="AA361" s="73" t="s">
        <v>121</v>
      </c>
      <c r="AB361" s="74" t="s">
        <v>132</v>
      </c>
      <c r="AC361" s="9">
        <v>14.12116428053435</v>
      </c>
      <c r="AD361" s="288" t="s">
        <v>121</v>
      </c>
      <c r="AE361" s="80" t="s">
        <v>99</v>
      </c>
      <c r="AF361" s="9">
        <v>13.703655895822486</v>
      </c>
      <c r="AG361" s="71" t="s">
        <v>144</v>
      </c>
      <c r="AH361" s="74" t="s">
        <v>132</v>
      </c>
      <c r="AI361" s="9">
        <v>13.248659655041322</v>
      </c>
      <c r="AJ361" s="71" t="s">
        <v>144</v>
      </c>
      <c r="AK361" s="80" t="s">
        <v>99</v>
      </c>
      <c r="AL361" s="9">
        <v>13.146027058945524</v>
      </c>
      <c r="AM361" s="73" t="s">
        <v>121</v>
      </c>
      <c r="AN361" s="73" t="s">
        <v>238</v>
      </c>
      <c r="AO361" s="9">
        <v>12.860567950634147</v>
      </c>
      <c r="AP361" s="60"/>
      <c r="AQ361" s="71" t="s">
        <v>2403</v>
      </c>
      <c r="AR361" s="9">
        <v>4.0698413588440001</v>
      </c>
      <c r="AS361" s="73" t="s">
        <v>121</v>
      </c>
      <c r="AT361" s="9">
        <v>4.0698413588440001</v>
      </c>
      <c r="AU361" s="80" t="s">
        <v>144</v>
      </c>
      <c r="AV361" s="9">
        <v>4.5</v>
      </c>
      <c r="AW361" s="74" t="s">
        <v>132</v>
      </c>
      <c r="AX361" s="9">
        <v>111.8553824027</v>
      </c>
      <c r="AY361" s="291" t="s">
        <v>132</v>
      </c>
      <c r="AZ361" s="9">
        <v>1.4914050987026668</v>
      </c>
      <c r="BA361" s="80" t="s">
        <v>144</v>
      </c>
      <c r="BB361" s="291" t="s">
        <v>132</v>
      </c>
      <c r="BC361" s="9">
        <v>8.2511732297962261</v>
      </c>
      <c r="BD361" s="288" t="s">
        <v>121</v>
      </c>
      <c r="BE361" s="291" t="s">
        <v>132</v>
      </c>
      <c r="BF361" s="9">
        <v>8.2154390913000004</v>
      </c>
      <c r="BG361" s="288" t="s">
        <v>121</v>
      </c>
      <c r="BH361" s="71" t="s">
        <v>99</v>
      </c>
      <c r="BI361" s="9">
        <v>7.7822076532599995</v>
      </c>
      <c r="BJ361" s="71" t="s">
        <v>144</v>
      </c>
      <c r="BK361" s="80" t="s">
        <v>99</v>
      </c>
      <c r="BL361" s="9">
        <v>7.6215447029552807</v>
      </c>
      <c r="BM361" s="73" t="s">
        <v>121</v>
      </c>
      <c r="BN361" s="288" t="s">
        <v>238</v>
      </c>
      <c r="BO361" s="9">
        <v>7.3345932801542855</v>
      </c>
    </row>
    <row r="362" spans="1:67" x14ac:dyDescent="0.45">
      <c r="A362" s="10">
        <v>341</v>
      </c>
      <c r="B362" s="10" t="s">
        <v>822</v>
      </c>
      <c r="C362" s="288" t="s">
        <v>1993</v>
      </c>
      <c r="D362" s="65"/>
      <c r="E362" s="290" t="s">
        <v>2201</v>
      </c>
      <c r="F362" s="59" t="s">
        <v>2202</v>
      </c>
      <c r="G362" s="242"/>
      <c r="H362" s="10"/>
      <c r="I362" s="62">
        <v>123.28680156000001</v>
      </c>
      <c r="J362" s="62">
        <v>90.09420114000001</v>
      </c>
      <c r="K362" s="62">
        <v>110.64200140000001</v>
      </c>
      <c r="L362" s="49">
        <v>1230.9063630377648</v>
      </c>
      <c r="M362" s="49">
        <v>1147.3316262967712</v>
      </c>
      <c r="N362" s="49">
        <v>1084.5763343580795</v>
      </c>
      <c r="O362" s="61">
        <v>9.1443498353070805</v>
      </c>
      <c r="P362" s="60"/>
      <c r="Q362" s="55" t="s">
        <v>53</v>
      </c>
      <c r="R362" s="9">
        <v>10.246510117000001</v>
      </c>
      <c r="S362" s="73" t="s">
        <v>214</v>
      </c>
      <c r="T362" s="9">
        <v>8.2305414269333337</v>
      </c>
      <c r="U362" s="73" t="s">
        <v>214</v>
      </c>
      <c r="V362" s="9">
        <v>11.667</v>
      </c>
      <c r="W362" s="288" t="s">
        <v>2428</v>
      </c>
      <c r="X362" s="9">
        <v>34.287436421200006</v>
      </c>
      <c r="Y362" s="288" t="s">
        <v>1524</v>
      </c>
      <c r="Z362" s="9">
        <v>18.046019169052634</v>
      </c>
      <c r="AA362" s="73" t="s">
        <v>214</v>
      </c>
      <c r="AB362" s="73" t="s">
        <v>1524</v>
      </c>
      <c r="AC362" s="9">
        <v>12.150837341953956</v>
      </c>
      <c r="AD362" s="58" t="s">
        <v>53</v>
      </c>
      <c r="AE362" s="288" t="s">
        <v>1524</v>
      </c>
      <c r="AF362" s="9">
        <v>10.980075424256686</v>
      </c>
      <c r="AG362" s="73" t="s">
        <v>214</v>
      </c>
      <c r="AH362" s="73" t="s">
        <v>1519</v>
      </c>
      <c r="AI362" s="9">
        <v>10.592222080813265</v>
      </c>
      <c r="AJ362" s="55" t="s">
        <v>53</v>
      </c>
      <c r="AK362" s="288" t="s">
        <v>1519</v>
      </c>
      <c r="AL362" s="9">
        <v>9.8715101170000015</v>
      </c>
      <c r="AM362" s="73" t="s">
        <v>214</v>
      </c>
      <c r="AN362" s="15" t="s">
        <v>213</v>
      </c>
      <c r="AO362" s="9">
        <v>9.6888036171071086</v>
      </c>
      <c r="AP362" s="60"/>
      <c r="AQ362" s="73" t="s">
        <v>214</v>
      </c>
      <c r="AR362" s="9">
        <v>8.6930964173440017</v>
      </c>
      <c r="AS362" s="73" t="s">
        <v>214</v>
      </c>
      <c r="AT362" s="9">
        <v>2.8976988057813338</v>
      </c>
      <c r="AU362" s="288" t="s">
        <v>214</v>
      </c>
      <c r="AV362" s="9">
        <v>3.6666666666666998</v>
      </c>
      <c r="AW362" s="73" t="s">
        <v>1519</v>
      </c>
      <c r="AX362" s="9">
        <v>44.273667347560007</v>
      </c>
      <c r="AY362" s="288" t="s">
        <v>1519</v>
      </c>
      <c r="AZ362" s="9">
        <v>0.98385927439022236</v>
      </c>
      <c r="BA362" s="288" t="s">
        <v>214</v>
      </c>
      <c r="BB362" s="288" t="s">
        <v>1519</v>
      </c>
      <c r="BC362" s="9">
        <v>6.0150662986550696</v>
      </c>
      <c r="BD362" s="288" t="s">
        <v>214</v>
      </c>
      <c r="BE362" s="64" t="s">
        <v>213</v>
      </c>
      <c r="BF362" s="9">
        <v>5.4299550317203069</v>
      </c>
      <c r="BG362" s="58" t="s">
        <v>53</v>
      </c>
      <c r="BH362" s="73" t="s">
        <v>1519</v>
      </c>
      <c r="BI362" s="9">
        <v>4.7849871587297192</v>
      </c>
      <c r="BJ362" s="73" t="s">
        <v>214</v>
      </c>
      <c r="BK362" s="288" t="s">
        <v>1524</v>
      </c>
      <c r="BL362" s="9">
        <v>4.7570537865645814</v>
      </c>
      <c r="BM362" s="55" t="s">
        <v>53</v>
      </c>
      <c r="BN362" s="64" t="s">
        <v>213</v>
      </c>
      <c r="BO362" s="9">
        <v>4.4084495629102376</v>
      </c>
    </row>
    <row r="363" spans="1:67" x14ac:dyDescent="0.45">
      <c r="A363" s="10">
        <v>342</v>
      </c>
      <c r="B363" s="10" t="s">
        <v>207</v>
      </c>
      <c r="C363" s="288" t="s">
        <v>2171</v>
      </c>
      <c r="D363" s="65"/>
      <c r="E363" s="58" t="s">
        <v>2331</v>
      </c>
      <c r="F363" s="77" t="s">
        <v>2332</v>
      </c>
      <c r="G363" s="242" t="s">
        <v>1925</v>
      </c>
      <c r="H363" s="10"/>
      <c r="I363" s="62">
        <v>188.88170239000002</v>
      </c>
      <c r="J363" s="62">
        <v>124.07710157000001</v>
      </c>
      <c r="K363" s="62">
        <v>138.30250175</v>
      </c>
      <c r="L363" s="49">
        <v>2474.2907204553985</v>
      </c>
      <c r="M363" s="49">
        <v>2190.1526032655033</v>
      </c>
      <c r="N363" s="49">
        <v>1986.5216205992153</v>
      </c>
      <c r="O363" s="61">
        <v>15.266011141986805</v>
      </c>
      <c r="P363" s="60"/>
      <c r="Q363" s="73" t="s">
        <v>206</v>
      </c>
      <c r="R363" s="9">
        <v>19.132643429440002</v>
      </c>
      <c r="S363" s="73" t="s">
        <v>206</v>
      </c>
      <c r="T363" s="9">
        <v>15.943869524533335</v>
      </c>
      <c r="U363" s="67" t="s">
        <v>20</v>
      </c>
      <c r="V363" s="9">
        <v>12.727</v>
      </c>
      <c r="W363" s="288" t="s">
        <v>205</v>
      </c>
      <c r="X363" s="9">
        <v>97.329668218900011</v>
      </c>
      <c r="Y363" s="288" t="s">
        <v>205</v>
      </c>
      <c r="Z363" s="9">
        <v>51.226141167842115</v>
      </c>
      <c r="AA363" s="67" t="s">
        <v>20</v>
      </c>
      <c r="AB363" s="73" t="s">
        <v>205</v>
      </c>
      <c r="AC363" s="9">
        <v>25.644478966526961</v>
      </c>
      <c r="AD363" s="288" t="s">
        <v>206</v>
      </c>
      <c r="AE363" s="288" t="s">
        <v>205</v>
      </c>
      <c r="AF363" s="9">
        <v>23.075392516265961</v>
      </c>
      <c r="AG363" s="67" t="s">
        <v>20</v>
      </c>
      <c r="AH363" s="73" t="s">
        <v>1524</v>
      </c>
      <c r="AI363" s="9">
        <v>19.198455017442573</v>
      </c>
      <c r="AJ363" s="67" t="s">
        <v>20</v>
      </c>
      <c r="AK363" s="76" t="s">
        <v>1491</v>
      </c>
      <c r="AL363" s="9">
        <v>19.179138870167982</v>
      </c>
      <c r="AM363" s="73" t="s">
        <v>206</v>
      </c>
      <c r="AN363" s="73" t="s">
        <v>1524</v>
      </c>
      <c r="AO363" s="9">
        <v>19.089479314198069</v>
      </c>
      <c r="AP363" s="60"/>
      <c r="AQ363" s="73" t="s">
        <v>206</v>
      </c>
      <c r="AR363" s="9">
        <v>18.679327343704003</v>
      </c>
      <c r="AS363" s="73" t="s">
        <v>206</v>
      </c>
      <c r="AT363" s="9">
        <v>6.2264424479013343</v>
      </c>
      <c r="AU363" s="76" t="s">
        <v>20</v>
      </c>
      <c r="AV363" s="9">
        <v>4.3333333333333002</v>
      </c>
      <c r="AW363" s="73" t="s">
        <v>205</v>
      </c>
      <c r="AX363" s="9">
        <v>111.49579589815001</v>
      </c>
      <c r="AY363" s="288" t="s">
        <v>205</v>
      </c>
      <c r="AZ363" s="9">
        <v>2.2299159179629999</v>
      </c>
      <c r="BA363" s="288" t="s">
        <v>206</v>
      </c>
      <c r="BB363" s="288" t="s">
        <v>205</v>
      </c>
      <c r="BC363" s="9">
        <v>11.556536293483544</v>
      </c>
      <c r="BD363" s="76" t="s">
        <v>20</v>
      </c>
      <c r="BE363" s="288" t="s">
        <v>205</v>
      </c>
      <c r="BF363" s="9">
        <v>11.458678934579449</v>
      </c>
      <c r="BG363" s="288" t="s">
        <v>206</v>
      </c>
      <c r="BH363" s="67" t="s">
        <v>1491</v>
      </c>
      <c r="BI363" s="9">
        <v>11.071569632623365</v>
      </c>
      <c r="BJ363" s="67" t="s">
        <v>20</v>
      </c>
      <c r="BK363" s="76" t="s">
        <v>1491</v>
      </c>
      <c r="BL363" s="9">
        <v>10.707235210844495</v>
      </c>
      <c r="BM363" s="73" t="s">
        <v>206</v>
      </c>
      <c r="BN363" s="64" t="s">
        <v>213</v>
      </c>
      <c r="BO363" s="9">
        <v>8.9691174587450018</v>
      </c>
    </row>
    <row r="364" spans="1:67" x14ac:dyDescent="0.45">
      <c r="A364" s="10">
        <v>343</v>
      </c>
      <c r="B364" s="10" t="s">
        <v>817</v>
      </c>
      <c r="C364" s="80" t="s">
        <v>2175</v>
      </c>
      <c r="D364" s="65"/>
      <c r="E364" s="289" t="s">
        <v>2336</v>
      </c>
      <c r="F364" s="58" t="s">
        <v>2337</v>
      </c>
      <c r="G364" s="290" t="s">
        <v>1992</v>
      </c>
      <c r="H364" s="10"/>
      <c r="I364" s="62">
        <v>72.707600920000004</v>
      </c>
      <c r="J364" s="62">
        <v>109.85170139</v>
      </c>
      <c r="K364" s="62">
        <v>106.69050135000001</v>
      </c>
      <c r="L364" s="49">
        <v>787.12931408264899</v>
      </c>
      <c r="M364" s="49">
        <v>898.82450779806459</v>
      </c>
      <c r="N364" s="49">
        <v>999.48886653639988</v>
      </c>
      <c r="O364" s="61">
        <v>10.560089317132253</v>
      </c>
      <c r="P364" s="60"/>
      <c r="Q364" s="57" t="s">
        <v>101</v>
      </c>
      <c r="R364" s="9">
        <v>9.7249121104</v>
      </c>
      <c r="S364" s="57" t="s">
        <v>101</v>
      </c>
      <c r="T364" s="9">
        <v>6.0780700689999998</v>
      </c>
      <c r="U364" s="57" t="s">
        <v>34</v>
      </c>
      <c r="V364" s="9">
        <v>10.91</v>
      </c>
      <c r="W364" s="80" t="s">
        <v>1490</v>
      </c>
      <c r="X364" s="9">
        <v>44.624560551999998</v>
      </c>
      <c r="Y364" s="242" t="s">
        <v>1516</v>
      </c>
      <c r="Z364" s="9">
        <v>9.8553726207499999</v>
      </c>
      <c r="AA364" s="57" t="s">
        <v>101</v>
      </c>
      <c r="AB364" s="71" t="s">
        <v>1490</v>
      </c>
      <c r="AC364" s="9">
        <v>7.6784984305647841</v>
      </c>
      <c r="AD364" s="242" t="s">
        <v>34</v>
      </c>
      <c r="AE364" s="80" t="s">
        <v>1490</v>
      </c>
      <c r="AF364" s="9">
        <v>7.6054047570556547</v>
      </c>
      <c r="AG364" s="57" t="s">
        <v>101</v>
      </c>
      <c r="AH364" s="57" t="s">
        <v>1516</v>
      </c>
      <c r="AI364" s="9">
        <v>7.4945585259062506</v>
      </c>
      <c r="AJ364" s="57" t="s">
        <v>34</v>
      </c>
      <c r="AK364" s="242" t="s">
        <v>1516</v>
      </c>
      <c r="AL364" s="9">
        <v>7.3896538752548171</v>
      </c>
      <c r="AM364" s="57" t="s">
        <v>101</v>
      </c>
      <c r="AN364" s="53" t="s">
        <v>194</v>
      </c>
      <c r="AO364" s="9">
        <v>7.2393143709652525</v>
      </c>
      <c r="AP364" s="60"/>
      <c r="AQ364" s="57" t="s">
        <v>101</v>
      </c>
      <c r="AR364" s="9">
        <v>10.073908594816</v>
      </c>
      <c r="AS364" s="57" t="s">
        <v>101</v>
      </c>
      <c r="AT364" s="9">
        <v>2.5184771487040001</v>
      </c>
      <c r="AU364" s="242" t="s">
        <v>34</v>
      </c>
      <c r="AV364" s="9">
        <v>3.3333333333333002</v>
      </c>
      <c r="AW364" s="71" t="s">
        <v>1490</v>
      </c>
      <c r="AX364" s="9">
        <v>57.711928717600003</v>
      </c>
      <c r="AY364" s="80" t="s">
        <v>1490</v>
      </c>
      <c r="AZ364" s="9">
        <v>0.72139910897000004</v>
      </c>
      <c r="BA364" s="242" t="s">
        <v>101</v>
      </c>
      <c r="BB364" s="80" t="s">
        <v>1490</v>
      </c>
      <c r="BC364" s="9">
        <v>4.5134211813146994</v>
      </c>
      <c r="BD364" s="242" t="s">
        <v>101</v>
      </c>
      <c r="BE364" s="242" t="s">
        <v>1516</v>
      </c>
      <c r="BF364" s="9">
        <v>4.3365663369714289</v>
      </c>
      <c r="BG364" s="242" t="s">
        <v>101</v>
      </c>
      <c r="BH364" s="53" t="s">
        <v>194</v>
      </c>
      <c r="BI364" s="9">
        <v>4.2465474024990479</v>
      </c>
      <c r="BJ364" s="57" t="s">
        <v>34</v>
      </c>
      <c r="BK364" s="80" t="s">
        <v>1490</v>
      </c>
      <c r="BL364" s="9">
        <v>4.0803025238745603</v>
      </c>
      <c r="BM364" s="57" t="s">
        <v>34</v>
      </c>
      <c r="BN364" s="242" t="s">
        <v>1516</v>
      </c>
      <c r="BO364" s="9">
        <v>3.8905303098298951</v>
      </c>
    </row>
    <row r="365" spans="1:67" x14ac:dyDescent="0.45">
      <c r="A365" s="10">
        <v>344</v>
      </c>
      <c r="B365" s="10" t="s">
        <v>102</v>
      </c>
      <c r="C365" s="80" t="s">
        <v>2175</v>
      </c>
      <c r="D365" s="65"/>
      <c r="E365" s="289" t="s">
        <v>2336</v>
      </c>
      <c r="F365" s="58" t="s">
        <v>2337</v>
      </c>
      <c r="G365" s="290" t="s">
        <v>1992</v>
      </c>
      <c r="H365" s="10"/>
      <c r="I365" s="62">
        <v>122.49650155</v>
      </c>
      <c r="J365" s="62">
        <v>192.83320244000001</v>
      </c>
      <c r="K365" s="62">
        <v>134.35100170000001</v>
      </c>
      <c r="L365" s="49">
        <v>1971.6737156182576</v>
      </c>
      <c r="M365" s="49">
        <v>2159.5550144198437</v>
      </c>
      <c r="N365" s="49">
        <v>2322.6707581605456</v>
      </c>
      <c r="O365" s="61">
        <v>21.719158936755061</v>
      </c>
      <c r="P365" s="60"/>
      <c r="Q365" s="57" t="s">
        <v>101</v>
      </c>
      <c r="R365" s="9">
        <v>15.699580186</v>
      </c>
      <c r="S365" s="71" t="s">
        <v>80</v>
      </c>
      <c r="T365" s="9">
        <v>10.164015833857144</v>
      </c>
      <c r="U365" s="57" t="s">
        <v>34</v>
      </c>
      <c r="V365" s="9">
        <v>10.91</v>
      </c>
      <c r="W365" s="80" t="s">
        <v>79</v>
      </c>
      <c r="X365" s="9">
        <v>103.897061302</v>
      </c>
      <c r="Y365" s="80" t="s">
        <v>79</v>
      </c>
      <c r="Z365" s="9">
        <v>28.86029480611111</v>
      </c>
      <c r="AA365" s="57" t="s">
        <v>101</v>
      </c>
      <c r="AB365" s="57" t="s">
        <v>82</v>
      </c>
      <c r="AC365" s="9">
        <v>14.690169441434428</v>
      </c>
      <c r="AD365" s="80" t="s">
        <v>80</v>
      </c>
      <c r="AE365" s="242" t="s">
        <v>82</v>
      </c>
      <c r="AF365" s="9">
        <v>14.645351722142859</v>
      </c>
      <c r="AG365" s="57" t="s">
        <v>34</v>
      </c>
      <c r="AH365" s="57" t="s">
        <v>82</v>
      </c>
      <c r="AI365" s="9">
        <v>14.636170830970654</v>
      </c>
      <c r="AJ365" s="57" t="s">
        <v>101</v>
      </c>
      <c r="AK365" s="80" t="s">
        <v>79</v>
      </c>
      <c r="AL365" s="9">
        <v>14.445548824594594</v>
      </c>
      <c r="AM365" s="71" t="s">
        <v>80</v>
      </c>
      <c r="AN365" s="71" t="s">
        <v>79</v>
      </c>
      <c r="AO365" s="9">
        <v>14.318744494358025</v>
      </c>
      <c r="AP365" s="60"/>
      <c r="AQ365" s="57" t="s">
        <v>101</v>
      </c>
      <c r="AR365" s="9">
        <v>16.287563393440003</v>
      </c>
      <c r="AS365" s="57" t="s">
        <v>101</v>
      </c>
      <c r="AT365" s="9">
        <v>4.0718908483600007</v>
      </c>
      <c r="AU365" s="242" t="s">
        <v>34</v>
      </c>
      <c r="AV365" s="9">
        <v>3.3333333333333002</v>
      </c>
      <c r="AW365" s="71" t="s">
        <v>79</v>
      </c>
      <c r="AX365" s="9">
        <v>115.65672545080001</v>
      </c>
      <c r="AY365" s="80" t="s">
        <v>79</v>
      </c>
      <c r="AZ365" s="9">
        <v>1.7793342377046155</v>
      </c>
      <c r="BA365" s="242" t="s">
        <v>101</v>
      </c>
      <c r="BB365" s="80" t="s">
        <v>79</v>
      </c>
      <c r="BC365" s="9">
        <v>8.9947511984676467</v>
      </c>
      <c r="BD365" s="242" t="s">
        <v>34</v>
      </c>
      <c r="BE365" s="80" t="s">
        <v>79</v>
      </c>
      <c r="BF365" s="9">
        <v>8.3825027550965867</v>
      </c>
      <c r="BG365" s="242" t="s">
        <v>101</v>
      </c>
      <c r="BH365" s="57" t="s">
        <v>82</v>
      </c>
      <c r="BI365" s="9">
        <v>8.3608901538637941</v>
      </c>
      <c r="BJ365" s="57" t="s">
        <v>101</v>
      </c>
      <c r="BK365" s="80" t="s">
        <v>153</v>
      </c>
      <c r="BL365" s="9">
        <v>8.3608901538637941</v>
      </c>
      <c r="BM365" s="71" t="s">
        <v>80</v>
      </c>
      <c r="BN365" s="80" t="s">
        <v>79</v>
      </c>
      <c r="BO365" s="9">
        <v>8.2434324766046796</v>
      </c>
    </row>
    <row r="366" spans="1:67" x14ac:dyDescent="0.45">
      <c r="A366" s="10">
        <v>345</v>
      </c>
      <c r="B366" s="10" t="s">
        <v>813</v>
      </c>
      <c r="C366" s="56" t="s">
        <v>2176</v>
      </c>
      <c r="D366" s="65"/>
      <c r="E366" s="58" t="s">
        <v>2338</v>
      </c>
      <c r="F366" s="64" t="s">
        <v>2339</v>
      </c>
      <c r="G366" s="242"/>
      <c r="H366" s="10"/>
      <c r="I366" s="62">
        <v>94.836001200000013</v>
      </c>
      <c r="J366" s="62">
        <v>130.39950165000002</v>
      </c>
      <c r="K366" s="62">
        <v>142.2540018</v>
      </c>
      <c r="L366" s="49">
        <v>1291.6458281548942</v>
      </c>
      <c r="M366" s="49">
        <v>1457.2781002671636</v>
      </c>
      <c r="N366" s="49">
        <v>1604.9504642879467</v>
      </c>
      <c r="O366" s="61">
        <v>16.409995683262167</v>
      </c>
      <c r="P366" s="60"/>
      <c r="Q366" s="69" t="s">
        <v>10</v>
      </c>
      <c r="R366" s="9">
        <v>5.741800060000001</v>
      </c>
      <c r="S366" s="54" t="s">
        <v>104</v>
      </c>
      <c r="T366" s="9">
        <v>6.5845250675000004</v>
      </c>
      <c r="U366" s="69" t="s">
        <v>10</v>
      </c>
      <c r="V366" s="9">
        <v>12.727</v>
      </c>
      <c r="W366" s="79" t="s">
        <v>23</v>
      </c>
      <c r="X366" s="9">
        <v>52.211440648000007</v>
      </c>
      <c r="Y366" s="79" t="s">
        <v>23</v>
      </c>
      <c r="Z366" s="9">
        <v>20.081323326153846</v>
      </c>
      <c r="AA366" s="54" t="s">
        <v>104</v>
      </c>
      <c r="AB366" s="72" t="s">
        <v>23</v>
      </c>
      <c r="AC366" s="9">
        <v>11.201850787565791</v>
      </c>
      <c r="AD366" s="289" t="s">
        <v>10</v>
      </c>
      <c r="AE366" s="79" t="s">
        <v>23</v>
      </c>
      <c r="AF366" s="9">
        <v>11.13840450844639</v>
      </c>
      <c r="AG366" s="54" t="s">
        <v>104</v>
      </c>
      <c r="AH366" s="52" t="s">
        <v>282</v>
      </c>
      <c r="AI366" s="9">
        <v>9.187249374975611</v>
      </c>
      <c r="AJ366" s="69" t="s">
        <v>10</v>
      </c>
      <c r="AK366" s="56" t="s">
        <v>282</v>
      </c>
      <c r="AL366" s="9">
        <v>8.9069535687470829</v>
      </c>
      <c r="AM366" s="54" t="s">
        <v>104</v>
      </c>
      <c r="AN366" s="57" t="s">
        <v>778</v>
      </c>
      <c r="AO366" s="9">
        <v>8.2070296970394754</v>
      </c>
      <c r="AP366" s="60"/>
      <c r="AQ366" s="69" t="s">
        <v>2500</v>
      </c>
      <c r="AR366" s="9">
        <v>4.6986040468000008</v>
      </c>
      <c r="AS366" s="54" t="s">
        <v>104</v>
      </c>
      <c r="AT366" s="9">
        <v>2.3493020234000004</v>
      </c>
      <c r="AU366" s="289" t="s">
        <v>10</v>
      </c>
      <c r="AV366" s="9">
        <v>3.6666666666666998</v>
      </c>
      <c r="AW366" s="72" t="s">
        <v>23</v>
      </c>
      <c r="AX366" s="9">
        <v>67.574872842400012</v>
      </c>
      <c r="AY366" s="79" t="s">
        <v>23</v>
      </c>
      <c r="AZ366" s="9">
        <v>1.3514974568480003</v>
      </c>
      <c r="BA366" s="289" t="s">
        <v>10</v>
      </c>
      <c r="BB366" s="79" t="s">
        <v>23</v>
      </c>
      <c r="BC366" s="9">
        <v>6.0761105814062129</v>
      </c>
      <c r="BD366" s="63" t="s">
        <v>104</v>
      </c>
      <c r="BE366" s="79" t="s">
        <v>23</v>
      </c>
      <c r="BF366" s="9">
        <v>5.4552815862095247</v>
      </c>
      <c r="BG366" s="289" t="s">
        <v>10</v>
      </c>
      <c r="BH366" s="52" t="s">
        <v>282</v>
      </c>
      <c r="BI366" s="9">
        <v>5.4248096254328768</v>
      </c>
      <c r="BJ366" s="54" t="s">
        <v>104</v>
      </c>
      <c r="BK366" s="56" t="s">
        <v>282</v>
      </c>
      <c r="BL366" s="9">
        <v>5.0035733198105268</v>
      </c>
      <c r="BM366" s="54" t="s">
        <v>104</v>
      </c>
      <c r="BN366" s="242" t="s">
        <v>778</v>
      </c>
      <c r="BO366" s="9">
        <v>3.898725434034783</v>
      </c>
    </row>
    <row r="367" spans="1:67" x14ac:dyDescent="0.45">
      <c r="A367" s="10">
        <v>346</v>
      </c>
      <c r="B367" s="10" t="s">
        <v>811</v>
      </c>
      <c r="C367" s="56" t="s">
        <v>2176</v>
      </c>
      <c r="D367" s="65"/>
      <c r="E367" s="58" t="s">
        <v>2338</v>
      </c>
      <c r="F367" s="64" t="s">
        <v>2339</v>
      </c>
      <c r="G367" s="242"/>
      <c r="H367" s="10"/>
      <c r="I367" s="62">
        <v>131.98010167000001</v>
      </c>
      <c r="J367" s="62">
        <v>165.17270209</v>
      </c>
      <c r="K367" s="62">
        <v>169.91450215</v>
      </c>
      <c r="L367" s="49">
        <v>2211.0207533745825</v>
      </c>
      <c r="M367" s="49">
        <v>2393.9667802692175</v>
      </c>
      <c r="N367" s="49">
        <v>2551.1638959670167</v>
      </c>
      <c r="O367" s="61">
        <v>24.086761897228868</v>
      </c>
      <c r="P367" s="60"/>
      <c r="Q367" s="69" t="s">
        <v>10</v>
      </c>
      <c r="R367" s="9">
        <v>7.5990050835000007</v>
      </c>
      <c r="S367" s="54" t="s">
        <v>104</v>
      </c>
      <c r="T367" s="9">
        <v>8.6738807189375002</v>
      </c>
      <c r="U367" s="69" t="s">
        <v>10</v>
      </c>
      <c r="V367" s="9">
        <v>12.727</v>
      </c>
      <c r="W367" s="56" t="s">
        <v>87</v>
      </c>
      <c r="X367" s="9">
        <v>80.188061001999998</v>
      </c>
      <c r="Y367" s="56" t="s">
        <v>87</v>
      </c>
      <c r="Z367" s="9">
        <v>34.864374348695655</v>
      </c>
      <c r="AA367" s="69" t="s">
        <v>10</v>
      </c>
      <c r="AB367" s="72" t="s">
        <v>23</v>
      </c>
      <c r="AC367" s="9">
        <v>15.226693903722099</v>
      </c>
      <c r="AD367" s="63" t="s">
        <v>104</v>
      </c>
      <c r="AE367" s="79" t="s">
        <v>23</v>
      </c>
      <c r="AF367" s="9">
        <v>15.215612960064146</v>
      </c>
      <c r="AG367" s="54" t="s">
        <v>104</v>
      </c>
      <c r="AH367" s="52" t="s">
        <v>87</v>
      </c>
      <c r="AI367" s="9">
        <v>13.417040982594488</v>
      </c>
      <c r="AJ367" s="69" t="s">
        <v>10</v>
      </c>
      <c r="AK367" s="56" t="s">
        <v>87</v>
      </c>
      <c r="AL367" s="9">
        <v>12.700910060360359</v>
      </c>
      <c r="AM367" s="54" t="s">
        <v>104</v>
      </c>
      <c r="AN367" s="71" t="s">
        <v>1504</v>
      </c>
      <c r="AO367" s="9">
        <v>11.430758148551472</v>
      </c>
      <c r="AP367" s="60"/>
      <c r="AQ367" s="69" t="s">
        <v>2500</v>
      </c>
      <c r="AR367" s="9">
        <v>6.1472239651300002</v>
      </c>
      <c r="AS367" s="54" t="s">
        <v>104</v>
      </c>
      <c r="AT367" s="9">
        <v>3.0736119825650001</v>
      </c>
      <c r="AU367" s="289" t="s">
        <v>10</v>
      </c>
      <c r="AV367" s="9">
        <v>3.6666666666666998</v>
      </c>
      <c r="AW367" s="52" t="s">
        <v>87</v>
      </c>
      <c r="AX367" s="9">
        <v>103.94447930260002</v>
      </c>
      <c r="AY367" s="56" t="s">
        <v>87</v>
      </c>
      <c r="AZ367" s="9">
        <v>1.8898996236836367</v>
      </c>
      <c r="BA367" s="289" t="s">
        <v>10</v>
      </c>
      <c r="BB367" s="56" t="s">
        <v>87</v>
      </c>
      <c r="BC367" s="9">
        <v>8.4175374455156255</v>
      </c>
      <c r="BD367" s="289" t="s">
        <v>10</v>
      </c>
      <c r="BE367" s="79" t="s">
        <v>23</v>
      </c>
      <c r="BF367" s="9">
        <v>8.3075251139890689</v>
      </c>
      <c r="BG367" s="63" t="s">
        <v>104</v>
      </c>
      <c r="BH367" s="52" t="s">
        <v>87</v>
      </c>
      <c r="BI367" s="9">
        <v>7.4593018660447834</v>
      </c>
      <c r="BJ367" s="54" t="s">
        <v>104</v>
      </c>
      <c r="BK367" s="79" t="s">
        <v>23</v>
      </c>
      <c r="BL367" s="9">
        <v>7.3867748106495252</v>
      </c>
      <c r="BM367" s="69" t="s">
        <v>10</v>
      </c>
      <c r="BN367" s="80" t="s">
        <v>1504</v>
      </c>
      <c r="BO367" s="9">
        <v>5.9411498401057594</v>
      </c>
    </row>
    <row r="368" spans="1:67" x14ac:dyDescent="0.45">
      <c r="A368" s="10">
        <v>347</v>
      </c>
      <c r="B368" s="10" t="s">
        <v>808</v>
      </c>
      <c r="C368" s="289" t="s">
        <v>2151</v>
      </c>
      <c r="D368" s="65"/>
      <c r="E368" s="56" t="s">
        <v>2299</v>
      </c>
      <c r="F368" s="64" t="s">
        <v>2300</v>
      </c>
      <c r="G368" s="242"/>
      <c r="H368" s="10"/>
      <c r="I368" s="62">
        <v>150.94730191000002</v>
      </c>
      <c r="J368" s="62">
        <v>90.884501150000006</v>
      </c>
      <c r="K368" s="62">
        <v>113.01290143000001</v>
      </c>
      <c r="L368" s="49">
        <v>1529.7986770919904</v>
      </c>
      <c r="M368" s="49">
        <v>1339.5598996253461</v>
      </c>
      <c r="N368" s="49">
        <v>1204.548868559224</v>
      </c>
      <c r="O368" s="61">
        <v>9.4154066348471872</v>
      </c>
      <c r="P368" s="60"/>
      <c r="Q368" s="69" t="s">
        <v>1523</v>
      </c>
      <c r="R368" s="9">
        <v>14.585257171900002</v>
      </c>
      <c r="S368" s="15" t="s">
        <v>1489</v>
      </c>
      <c r="T368" s="9">
        <v>11.056838114600001</v>
      </c>
      <c r="U368" s="69" t="s">
        <v>1523</v>
      </c>
      <c r="V368" s="9">
        <v>10</v>
      </c>
      <c r="W368" s="56" t="s">
        <v>282</v>
      </c>
      <c r="X368" s="9">
        <v>64.397866802200014</v>
      </c>
      <c r="Y368" s="63" t="s">
        <v>1511</v>
      </c>
      <c r="Z368" s="9">
        <v>20.792973588000002</v>
      </c>
      <c r="AA368" s="15" t="s">
        <v>1489</v>
      </c>
      <c r="AB368" s="52" t="s">
        <v>282</v>
      </c>
      <c r="AC368" s="9">
        <v>14.408872906047829</v>
      </c>
      <c r="AD368" s="289" t="s">
        <v>1523</v>
      </c>
      <c r="AE368" s="56" t="s">
        <v>282</v>
      </c>
      <c r="AF368" s="9">
        <v>14.167251132647156</v>
      </c>
      <c r="AG368" s="15" t="s">
        <v>1489</v>
      </c>
      <c r="AH368" s="54" t="s">
        <v>1511</v>
      </c>
      <c r="AI368" s="9">
        <v>13.634050445794118</v>
      </c>
      <c r="AJ368" s="69" t="s">
        <v>1523</v>
      </c>
      <c r="AK368" s="63" t="s">
        <v>1511</v>
      </c>
      <c r="AL368" s="9">
        <v>13.158857169563218</v>
      </c>
      <c r="AM368" s="15" t="s">
        <v>1489</v>
      </c>
      <c r="AN368" s="73" t="s">
        <v>1519</v>
      </c>
      <c r="AO368" s="9">
        <v>11.97536478924877</v>
      </c>
      <c r="AP368" s="60"/>
      <c r="AQ368" s="69" t="s">
        <v>1523</v>
      </c>
      <c r="AR368" s="9">
        <v>11.596500594082002</v>
      </c>
      <c r="AS368" s="15" t="s">
        <v>1489</v>
      </c>
      <c r="AT368" s="9">
        <v>4.9246298496600005</v>
      </c>
      <c r="AU368" s="289" t="s">
        <v>1523</v>
      </c>
      <c r="AV368" s="9">
        <v>2.6666666666666998</v>
      </c>
      <c r="AW368" s="52" t="s">
        <v>282</v>
      </c>
      <c r="AX368" s="9">
        <v>83.417226842860018</v>
      </c>
      <c r="AY368" s="56" t="s">
        <v>282</v>
      </c>
      <c r="AZ368" s="9">
        <v>1.8537161520635559</v>
      </c>
      <c r="BA368" s="289" t="s">
        <v>1523</v>
      </c>
      <c r="BB368" s="56" t="s">
        <v>282</v>
      </c>
      <c r="BC368" s="9">
        <v>8.3159464438921002</v>
      </c>
      <c r="BD368" s="64" t="s">
        <v>1489</v>
      </c>
      <c r="BE368" s="56" t="s">
        <v>282</v>
      </c>
      <c r="BF368" s="9">
        <v>8.264740360008938</v>
      </c>
      <c r="BG368" s="64" t="s">
        <v>1489</v>
      </c>
      <c r="BH368" s="54" t="s">
        <v>1511</v>
      </c>
      <c r="BI368" s="9">
        <v>6.833909235981082</v>
      </c>
      <c r="BJ368" s="15" t="s">
        <v>1489</v>
      </c>
      <c r="BK368" s="288" t="s">
        <v>1519</v>
      </c>
      <c r="BL368" s="9">
        <v>6.6364364862138308</v>
      </c>
      <c r="BM368" s="69" t="s">
        <v>1523</v>
      </c>
      <c r="BN368" s="63" t="s">
        <v>1511</v>
      </c>
      <c r="BO368" s="9">
        <v>6.4411319359793815</v>
      </c>
    </row>
    <row r="369" spans="1:67" x14ac:dyDescent="0.45">
      <c r="A369" s="10">
        <v>348</v>
      </c>
      <c r="B369" s="10" t="s">
        <v>805</v>
      </c>
      <c r="C369" s="289" t="s">
        <v>2151</v>
      </c>
      <c r="D369" s="65"/>
      <c r="E369" s="56" t="s">
        <v>2299</v>
      </c>
      <c r="F369" s="64" t="s">
        <v>2300</v>
      </c>
      <c r="G369" s="242"/>
      <c r="H369" s="10"/>
      <c r="I369" s="62">
        <v>187.30110237000002</v>
      </c>
      <c r="J369" s="62">
        <v>149.36670189</v>
      </c>
      <c r="K369" s="62">
        <v>154.89880196000001</v>
      </c>
      <c r="L369" s="49">
        <v>2848.9921896273131</v>
      </c>
      <c r="M369" s="49">
        <v>2658.0396553009664</v>
      </c>
      <c r="N369" s="49">
        <v>2514.5345872973858</v>
      </c>
      <c r="O369" s="61">
        <v>20.129975174530301</v>
      </c>
      <c r="P369" s="60"/>
      <c r="Q369" s="69" t="s">
        <v>1523</v>
      </c>
      <c r="R369" s="9">
        <v>17.857099213300003</v>
      </c>
      <c r="S369" s="69" t="s">
        <v>1523</v>
      </c>
      <c r="T369" s="9">
        <v>11.904732808866669</v>
      </c>
      <c r="U369" s="69" t="s">
        <v>27</v>
      </c>
      <c r="V369" s="9">
        <v>15</v>
      </c>
      <c r="W369" s="288" t="s">
        <v>238</v>
      </c>
      <c r="X369" s="9">
        <v>66.555385829500011</v>
      </c>
      <c r="Y369" s="56" t="s">
        <v>286</v>
      </c>
      <c r="Z369" s="9">
        <v>27.233490814761907</v>
      </c>
      <c r="AA369" s="69" t="s">
        <v>27</v>
      </c>
      <c r="AB369" s="52" t="s">
        <v>286</v>
      </c>
      <c r="AC369" s="9">
        <v>18.85048762293059</v>
      </c>
      <c r="AD369" s="289" t="s">
        <v>1523</v>
      </c>
      <c r="AE369" s="56" t="s">
        <v>286</v>
      </c>
      <c r="AF369" s="9">
        <v>17.829344798875258</v>
      </c>
      <c r="AG369" s="69" t="s">
        <v>27</v>
      </c>
      <c r="AH369" s="54" t="s">
        <v>1511</v>
      </c>
      <c r="AI369" s="9">
        <v>16.857103773104477</v>
      </c>
      <c r="AJ369" s="69" t="s">
        <v>1523</v>
      </c>
      <c r="AK369" s="63" t="s">
        <v>1511</v>
      </c>
      <c r="AL369" s="9">
        <v>16.16744755245977</v>
      </c>
      <c r="AM369" s="69" t="s">
        <v>27</v>
      </c>
      <c r="AN369" s="73" t="s">
        <v>238</v>
      </c>
      <c r="AO369" s="9">
        <v>15.762839467091837</v>
      </c>
      <c r="AP369" s="60"/>
      <c r="AQ369" s="69" t="s">
        <v>1523</v>
      </c>
      <c r="AR369" s="9">
        <v>14.148537386374002</v>
      </c>
      <c r="AS369" s="69" t="s">
        <v>1523</v>
      </c>
      <c r="AT369" s="9">
        <v>4.7161791287913344</v>
      </c>
      <c r="AU369" s="289" t="s">
        <v>27</v>
      </c>
      <c r="AV369" s="9">
        <v>4</v>
      </c>
      <c r="AW369" s="73" t="s">
        <v>238</v>
      </c>
      <c r="AX369" s="9">
        <v>86.222001578350017</v>
      </c>
      <c r="AY369" s="56" t="s">
        <v>286</v>
      </c>
      <c r="AZ369" s="9">
        <v>1.8511857481075</v>
      </c>
      <c r="BA369" s="289" t="s">
        <v>27</v>
      </c>
      <c r="BB369" s="56" t="s">
        <v>286</v>
      </c>
      <c r="BC369" s="9">
        <v>10.296945626729091</v>
      </c>
      <c r="BD369" s="289" t="s">
        <v>27</v>
      </c>
      <c r="BE369" s="288" t="s">
        <v>238</v>
      </c>
      <c r="BF369" s="9">
        <v>9.0656537208081271</v>
      </c>
      <c r="BG369" s="289" t="s">
        <v>1523</v>
      </c>
      <c r="BH369" s="52" t="s">
        <v>286</v>
      </c>
      <c r="BI369" s="9">
        <v>9.049382303510626</v>
      </c>
      <c r="BJ369" s="69" t="s">
        <v>27</v>
      </c>
      <c r="BK369" s="63" t="s">
        <v>1511</v>
      </c>
      <c r="BL369" s="9">
        <v>8.616911496380002</v>
      </c>
      <c r="BM369" s="69" t="s">
        <v>1523</v>
      </c>
      <c r="BN369" s="288" t="s">
        <v>238</v>
      </c>
      <c r="BO369" s="9">
        <v>8.1845119989853199</v>
      </c>
    </row>
    <row r="370" spans="1:67" x14ac:dyDescent="0.45">
      <c r="A370" s="10">
        <v>349</v>
      </c>
      <c r="B370" s="10" t="s">
        <v>803</v>
      </c>
      <c r="C370" s="288" t="s">
        <v>1993</v>
      </c>
      <c r="D370" s="65"/>
      <c r="E370" s="290" t="s">
        <v>2201</v>
      </c>
      <c r="F370" s="59" t="s">
        <v>2202</v>
      </c>
      <c r="G370" s="242"/>
      <c r="H370" s="10"/>
      <c r="I370" s="62">
        <v>34.773200440000004</v>
      </c>
      <c r="J370" s="62">
        <v>79.030000999999999</v>
      </c>
      <c r="K370" s="62">
        <v>79.030000999999999</v>
      </c>
      <c r="L370" s="49">
        <v>274.81260655464007</v>
      </c>
      <c r="M370" s="49">
        <v>361.31480657480995</v>
      </c>
      <c r="N370" s="49">
        <v>449.74365546107612</v>
      </c>
      <c r="O370" s="61">
        <v>5.7882923109382585</v>
      </c>
      <c r="P370" s="60"/>
      <c r="Q370" s="15" t="s">
        <v>127</v>
      </c>
      <c r="R370" s="9">
        <v>1.8693300110000002</v>
      </c>
      <c r="S370" s="15" t="s">
        <v>127</v>
      </c>
      <c r="T370" s="9">
        <v>3.7386600220000004</v>
      </c>
      <c r="U370" s="15" t="s">
        <v>127</v>
      </c>
      <c r="V370" s="9">
        <v>10</v>
      </c>
      <c r="W370" s="242" t="s">
        <v>778</v>
      </c>
      <c r="X370" s="9">
        <v>11.431960132</v>
      </c>
      <c r="Y370" s="242" t="s">
        <v>778</v>
      </c>
      <c r="Z370" s="9">
        <v>4.3969077430769232</v>
      </c>
      <c r="AA370" s="15" t="s">
        <v>127</v>
      </c>
      <c r="AB370" s="57" t="s">
        <v>778</v>
      </c>
      <c r="AC370" s="9">
        <v>3.9638500318421057</v>
      </c>
      <c r="AD370" s="288" t="s">
        <v>1230</v>
      </c>
      <c r="AE370" s="242" t="s">
        <v>778</v>
      </c>
      <c r="AF370" s="9">
        <v>0.79459018826608507</v>
      </c>
      <c r="AG370" s="69"/>
      <c r="AH370" s="54"/>
      <c r="AI370" s="9"/>
      <c r="AJ370" s="69"/>
      <c r="AK370" s="78"/>
      <c r="AL370" s="9"/>
      <c r="AM370" s="69"/>
      <c r="AN370" s="73"/>
      <c r="AO370" s="9"/>
      <c r="AP370" s="60"/>
      <c r="AQ370" s="15" t="s">
        <v>127</v>
      </c>
      <c r="AR370" s="9">
        <v>1.6780774085800001</v>
      </c>
      <c r="AS370" s="15" t="s">
        <v>127</v>
      </c>
      <c r="AT370" s="9">
        <v>1.6780774085800001</v>
      </c>
      <c r="AU370" s="288" t="s">
        <v>1230</v>
      </c>
      <c r="AV370" s="9">
        <v>3</v>
      </c>
      <c r="AW370" s="57" t="s">
        <v>778</v>
      </c>
      <c r="AX370" s="9">
        <v>14.561548171600002</v>
      </c>
      <c r="AY370" s="242" t="s">
        <v>778</v>
      </c>
      <c r="AZ370" s="9">
        <v>0.26475542130181823</v>
      </c>
      <c r="BA370" s="64" t="s">
        <v>127</v>
      </c>
      <c r="BB370" s="242" t="s">
        <v>778</v>
      </c>
      <c r="BC370" s="9">
        <v>2.1301290143000005</v>
      </c>
      <c r="BD370" s="288" t="s">
        <v>1230</v>
      </c>
      <c r="BE370" s="242" t="s">
        <v>778</v>
      </c>
      <c r="BF370" s="9">
        <v>0.99025249163448281</v>
      </c>
      <c r="BG370" s="78"/>
      <c r="BH370" s="52"/>
      <c r="BI370" s="9"/>
      <c r="BJ370" s="69"/>
      <c r="BK370" s="76"/>
      <c r="BL370" s="9"/>
      <c r="BM370" s="69"/>
      <c r="BN370" s="78"/>
      <c r="BO370" s="9"/>
    </row>
    <row r="371" spans="1:67" x14ac:dyDescent="0.45">
      <c r="A371" s="10">
        <v>350</v>
      </c>
      <c r="B371" s="10" t="s">
        <v>219</v>
      </c>
      <c r="C371" s="288" t="s">
        <v>1993</v>
      </c>
      <c r="D371" s="65"/>
      <c r="E371" s="290" t="s">
        <v>2201</v>
      </c>
      <c r="F371" s="59" t="s">
        <v>2202</v>
      </c>
      <c r="G371" s="242"/>
      <c r="H371" s="10"/>
      <c r="I371" s="62">
        <v>163.59210207000001</v>
      </c>
      <c r="J371" s="62">
        <v>184.93020234000002</v>
      </c>
      <c r="K371" s="62">
        <v>182.55930231000002</v>
      </c>
      <c r="L371" s="49">
        <v>3005.856468918505</v>
      </c>
      <c r="M371" s="49">
        <v>3124.5160750663031</v>
      </c>
      <c r="N371" s="49">
        <v>3222.8076279805073</v>
      </c>
      <c r="O371" s="61">
        <v>28.491744618009445</v>
      </c>
      <c r="P371" s="60"/>
      <c r="Q371" s="73" t="s">
        <v>206</v>
      </c>
      <c r="R371" s="9">
        <v>16.70484179872</v>
      </c>
      <c r="S371" s="73" t="s">
        <v>206</v>
      </c>
      <c r="T371" s="9">
        <v>13.920701498933335</v>
      </c>
      <c r="U371" s="66" t="s">
        <v>88</v>
      </c>
      <c r="V371" s="9">
        <v>8.1820000000000004</v>
      </c>
      <c r="W371" s="64" t="s">
        <v>112</v>
      </c>
      <c r="X371" s="9">
        <v>123.69407655250001</v>
      </c>
      <c r="Y371" s="288" t="s">
        <v>218</v>
      </c>
      <c r="Z371" s="9">
        <v>38.118188121941181</v>
      </c>
      <c r="AA371" s="73" t="s">
        <v>206</v>
      </c>
      <c r="AB371" s="73" t="s">
        <v>218</v>
      </c>
      <c r="AC371" s="9">
        <v>18.39197620101087</v>
      </c>
      <c r="AD371" s="78" t="s">
        <v>88</v>
      </c>
      <c r="AE371" s="288" t="s">
        <v>218</v>
      </c>
      <c r="AF371" s="9">
        <v>17.733693613487908</v>
      </c>
      <c r="AG371" s="73" t="s">
        <v>206</v>
      </c>
      <c r="AH371" s="15" t="s">
        <v>112</v>
      </c>
      <c r="AI371" s="9">
        <v>17.569949481229898</v>
      </c>
      <c r="AJ371" s="73" t="s">
        <v>206</v>
      </c>
      <c r="AK371" s="291" t="s">
        <v>132</v>
      </c>
      <c r="AL371" s="9">
        <v>17.352824049671661</v>
      </c>
      <c r="AM371" s="66" t="s">
        <v>88</v>
      </c>
      <c r="AN371" s="15" t="s">
        <v>112</v>
      </c>
      <c r="AO371" s="9">
        <v>16.642762847970591</v>
      </c>
      <c r="AP371" s="60"/>
      <c r="AQ371" s="73" t="s">
        <v>206</v>
      </c>
      <c r="AR371" s="9">
        <v>16.312220753752001</v>
      </c>
      <c r="AS371" s="73" t="s">
        <v>206</v>
      </c>
      <c r="AT371" s="9">
        <v>5.4374069179173334</v>
      </c>
      <c r="AU371" s="78" t="s">
        <v>88</v>
      </c>
      <c r="AV371" s="9">
        <v>3.3333333333333002</v>
      </c>
      <c r="AW371" s="15" t="s">
        <v>112</v>
      </c>
      <c r="AX371" s="9">
        <v>160.50229951825003</v>
      </c>
      <c r="AY371" s="288" t="s">
        <v>218</v>
      </c>
      <c r="AZ371" s="9">
        <v>2.0985298937372501</v>
      </c>
      <c r="BA371" s="288" t="s">
        <v>206</v>
      </c>
      <c r="BB371" s="64" t="s">
        <v>112</v>
      </c>
      <c r="BC371" s="9">
        <v>10.439500227605485</v>
      </c>
      <c r="BD371" s="288" t="s">
        <v>206</v>
      </c>
      <c r="BE371" s="288" t="s">
        <v>218</v>
      </c>
      <c r="BF371" s="9">
        <v>10.343893719890627</v>
      </c>
      <c r="BG371" s="288" t="s">
        <v>206</v>
      </c>
      <c r="BH371" s="74" t="s">
        <v>132</v>
      </c>
      <c r="BI371" s="9">
        <v>10.031326894955365</v>
      </c>
      <c r="BJ371" s="66" t="s">
        <v>88</v>
      </c>
      <c r="BK371" s="64" t="s">
        <v>112</v>
      </c>
      <c r="BL371" s="9">
        <v>9.8025361314804016</v>
      </c>
      <c r="BM371" s="66" t="s">
        <v>88</v>
      </c>
      <c r="BN371" s="288" t="s">
        <v>218</v>
      </c>
      <c r="BO371" s="9">
        <v>9.7093652026053849</v>
      </c>
    </row>
    <row r="372" spans="1:67" x14ac:dyDescent="0.45">
      <c r="A372" s="10">
        <v>351</v>
      </c>
      <c r="B372" s="10" t="s">
        <v>793</v>
      </c>
      <c r="C372" s="64" t="s">
        <v>1889</v>
      </c>
      <c r="D372" s="65"/>
      <c r="E372" s="58" t="s">
        <v>1903</v>
      </c>
      <c r="F372" s="77"/>
      <c r="G372" s="77" t="s">
        <v>1888</v>
      </c>
      <c r="H372" s="10"/>
      <c r="I372" s="62">
        <v>121.70620154000001</v>
      </c>
      <c r="J372" s="62">
        <v>121.70620154000001</v>
      </c>
      <c r="K372" s="62">
        <v>147.78610187000001</v>
      </c>
      <c r="L372" s="49">
        <v>1632.2469260703331</v>
      </c>
      <c r="M372" s="49">
        <v>1685.9292299433982</v>
      </c>
      <c r="N372" s="49">
        <v>1730.1434984804146</v>
      </c>
      <c r="O372" s="61">
        <v>16.034934169310464</v>
      </c>
      <c r="P372" s="60"/>
      <c r="Q372" s="68" t="s">
        <v>70</v>
      </c>
      <c r="R372" s="9">
        <v>7.0853100770000008</v>
      </c>
      <c r="S372" s="15" t="s">
        <v>127</v>
      </c>
      <c r="T372" s="9">
        <v>9.3023720924000006</v>
      </c>
      <c r="U372" s="68" t="s">
        <v>70</v>
      </c>
      <c r="V372" s="9">
        <v>12.5</v>
      </c>
      <c r="W372" s="287" t="s">
        <v>1530</v>
      </c>
      <c r="X372" s="9">
        <v>67.938410847</v>
      </c>
      <c r="Y372" s="64" t="s">
        <v>1531</v>
      </c>
      <c r="Z372" s="9">
        <v>28.008895346499997</v>
      </c>
      <c r="AA372" s="15" t="s">
        <v>127</v>
      </c>
      <c r="AB372" s="15" t="s">
        <v>1531</v>
      </c>
      <c r="AC372" s="9">
        <v>15.369352607243243</v>
      </c>
      <c r="AD372" s="77" t="s">
        <v>70</v>
      </c>
      <c r="AE372" s="64" t="s">
        <v>1531</v>
      </c>
      <c r="AF372" s="9">
        <v>14.193601420041666</v>
      </c>
      <c r="AG372" s="15" t="s">
        <v>127</v>
      </c>
      <c r="AH372" s="16" t="s">
        <v>1530</v>
      </c>
      <c r="AI372" s="9">
        <v>12.674183604015749</v>
      </c>
      <c r="AJ372" s="15" t="s">
        <v>127</v>
      </c>
      <c r="AK372" s="79" t="s">
        <v>33</v>
      </c>
      <c r="AL372" s="9">
        <v>11.492095635393259</v>
      </c>
      <c r="AM372" s="68" t="s">
        <v>70</v>
      </c>
      <c r="AN372" s="16" t="s">
        <v>1530</v>
      </c>
      <c r="AO372" s="9">
        <v>10.588791115855857</v>
      </c>
      <c r="AP372" s="60"/>
      <c r="AQ372" s="68" t="s">
        <v>70</v>
      </c>
      <c r="AR372" s="9">
        <v>5.7465418600600007</v>
      </c>
      <c r="AS372" s="15" t="s">
        <v>127</v>
      </c>
      <c r="AT372" s="9">
        <v>3.8479251160360004</v>
      </c>
      <c r="AU372" s="77" t="s">
        <v>70</v>
      </c>
      <c r="AV372" s="9">
        <v>3.6666666666666998</v>
      </c>
      <c r="AW372" s="16" t="s">
        <v>1530</v>
      </c>
      <c r="AX372" s="9">
        <v>88.019934101100006</v>
      </c>
      <c r="AY372" s="64" t="s">
        <v>1531</v>
      </c>
      <c r="AZ372" s="9">
        <v>1.6559572091634287</v>
      </c>
      <c r="BA372" s="77" t="s">
        <v>70</v>
      </c>
      <c r="BB372" s="64" t="s">
        <v>1531</v>
      </c>
      <c r="BC372" s="9">
        <v>7.229935264051897</v>
      </c>
      <c r="BD372" s="64" t="s">
        <v>127</v>
      </c>
      <c r="BE372" s="64" t="s">
        <v>1531</v>
      </c>
      <c r="BF372" s="9">
        <v>6.7728211811540548</v>
      </c>
      <c r="BG372" s="77" t="s">
        <v>70</v>
      </c>
      <c r="BH372" s="16" t="s">
        <v>1530</v>
      </c>
      <c r="BI372" s="9">
        <v>6.513322796194176</v>
      </c>
      <c r="BJ372" s="15" t="s">
        <v>127</v>
      </c>
      <c r="BK372" s="287" t="s">
        <v>1530</v>
      </c>
      <c r="BL372" s="9">
        <v>6.3605223991722388</v>
      </c>
      <c r="BM372" s="15" t="s">
        <v>127</v>
      </c>
      <c r="BN372" s="79" t="s">
        <v>33</v>
      </c>
      <c r="BO372" s="9">
        <v>6.0527703671606456</v>
      </c>
    </row>
    <row r="373" spans="1:67" x14ac:dyDescent="0.45">
      <c r="A373" s="10">
        <v>351</v>
      </c>
      <c r="B373" s="10" t="s">
        <v>799</v>
      </c>
      <c r="C373" s="288" t="s">
        <v>1993</v>
      </c>
      <c r="D373" s="65"/>
      <c r="E373" s="290" t="s">
        <v>2201</v>
      </c>
      <c r="F373" s="59" t="s">
        <v>2202</v>
      </c>
      <c r="G373" s="242"/>
      <c r="H373" s="10"/>
      <c r="I373" s="62">
        <v>121.70620154000001</v>
      </c>
      <c r="J373" s="62">
        <v>121.70620154000001</v>
      </c>
      <c r="K373" s="62">
        <v>147.78610187000001</v>
      </c>
      <c r="L373" s="49">
        <v>1632.2469260703331</v>
      </c>
      <c r="M373" s="49">
        <v>1685.9292299433982</v>
      </c>
      <c r="N373" s="49">
        <v>1730.1434984804146</v>
      </c>
      <c r="O373" s="61">
        <v>16.034934169310464</v>
      </c>
      <c r="P373" s="60"/>
      <c r="Q373" s="73" t="s">
        <v>121</v>
      </c>
      <c r="R373" s="9">
        <v>4.6511860462000003</v>
      </c>
      <c r="S373" s="73" t="s">
        <v>121</v>
      </c>
      <c r="T373" s="9">
        <v>9.3023720924000006</v>
      </c>
      <c r="U373" s="15" t="s">
        <v>2390</v>
      </c>
      <c r="V373" s="9">
        <v>10</v>
      </c>
      <c r="W373" s="288" t="s">
        <v>197</v>
      </c>
      <c r="X373" s="9">
        <v>95.930837201200006</v>
      </c>
      <c r="Y373" s="288" t="s">
        <v>197</v>
      </c>
      <c r="Z373" s="9">
        <v>29.069950667030305</v>
      </c>
      <c r="AA373" s="73" t="s">
        <v>121</v>
      </c>
      <c r="AB373" s="73" t="s">
        <v>1529</v>
      </c>
      <c r="AC373" s="9">
        <v>15.369352607243243</v>
      </c>
      <c r="AD373" s="64" t="s">
        <v>127</v>
      </c>
      <c r="AE373" s="288" t="s">
        <v>1529</v>
      </c>
      <c r="AF373" s="9">
        <v>14.547013407648649</v>
      </c>
      <c r="AG373" s="73" t="s">
        <v>121</v>
      </c>
      <c r="AH373" s="73" t="s">
        <v>197</v>
      </c>
      <c r="AI373" s="9">
        <v>14.207109633473683</v>
      </c>
      <c r="AJ373" s="15" t="s">
        <v>127</v>
      </c>
      <c r="AK373" s="288" t="s">
        <v>197</v>
      </c>
      <c r="AL373" s="9">
        <v>13.292025411368421</v>
      </c>
      <c r="AM373" s="73" t="s">
        <v>121</v>
      </c>
      <c r="AN373" s="51" t="s">
        <v>222</v>
      </c>
      <c r="AO373" s="9">
        <v>12.490066265645162</v>
      </c>
      <c r="AP373" s="60"/>
      <c r="AQ373" s="73" t="s">
        <v>121</v>
      </c>
      <c r="AR373" s="9">
        <v>3.8479251160360004</v>
      </c>
      <c r="AS373" s="73" t="s">
        <v>121</v>
      </c>
      <c r="AT373" s="9">
        <v>3.8479251160360004</v>
      </c>
      <c r="AU373" s="288" t="s">
        <v>121</v>
      </c>
      <c r="AV373" s="9">
        <v>3</v>
      </c>
      <c r="AW373" s="73" t="s">
        <v>197</v>
      </c>
      <c r="AX373" s="9">
        <v>124.41008836156001</v>
      </c>
      <c r="AY373" s="288" t="s">
        <v>197</v>
      </c>
      <c r="AZ373" s="9">
        <v>1.6588011781541334</v>
      </c>
      <c r="BA373" s="288" t="s">
        <v>121</v>
      </c>
      <c r="BB373" s="288" t="s">
        <v>197</v>
      </c>
      <c r="BC373" s="9">
        <v>8.4849313947100011</v>
      </c>
      <c r="BD373" s="288" t="s">
        <v>121</v>
      </c>
      <c r="BE373" s="288" t="s">
        <v>1529</v>
      </c>
      <c r="BF373" s="9">
        <v>8.1198127900900001</v>
      </c>
      <c r="BG373" s="288" t="s">
        <v>121</v>
      </c>
      <c r="BH373" s="51" t="s">
        <v>222</v>
      </c>
      <c r="BI373" s="9">
        <v>7.4794063486533346</v>
      </c>
      <c r="BJ373" s="15" t="s">
        <v>127</v>
      </c>
      <c r="BK373" s="288" t="s">
        <v>197</v>
      </c>
      <c r="BL373" s="9">
        <v>6.5170843698100001</v>
      </c>
      <c r="BM373" s="15" t="s">
        <v>127</v>
      </c>
      <c r="BN373" s="288" t="s">
        <v>1529</v>
      </c>
      <c r="BO373" s="9">
        <v>6.3238239781754064</v>
      </c>
    </row>
    <row r="374" spans="1:67" x14ac:dyDescent="0.45">
      <c r="A374" s="10">
        <v>351</v>
      </c>
      <c r="B374" s="10" t="s">
        <v>139</v>
      </c>
      <c r="C374" s="75" t="s">
        <v>1976</v>
      </c>
      <c r="D374" s="65"/>
      <c r="E374" s="80" t="s">
        <v>2198</v>
      </c>
      <c r="F374" s="289" t="s">
        <v>2199</v>
      </c>
      <c r="G374" s="242"/>
      <c r="H374" s="10"/>
      <c r="I374" s="62">
        <v>121.70620154000001</v>
      </c>
      <c r="J374" s="62">
        <v>121.70620154000001</v>
      </c>
      <c r="K374" s="62">
        <v>147.78610187000001</v>
      </c>
      <c r="L374" s="49">
        <v>1632.2469260703331</v>
      </c>
      <c r="M374" s="49">
        <v>1685.9292299433982</v>
      </c>
      <c r="N374" s="49">
        <v>1730.1434984804146</v>
      </c>
      <c r="O374" s="61">
        <v>16.034934169310464</v>
      </c>
      <c r="P374" s="60"/>
      <c r="Q374" s="70" t="s">
        <v>138</v>
      </c>
      <c r="R374" s="9">
        <v>8.3023720924000006</v>
      </c>
      <c r="S374" s="70" t="s">
        <v>138</v>
      </c>
      <c r="T374" s="9">
        <v>8.3023720924000006</v>
      </c>
      <c r="U374" s="15" t="s">
        <v>2387</v>
      </c>
      <c r="V374" s="9">
        <v>10</v>
      </c>
      <c r="W374" s="79" t="s">
        <v>9</v>
      </c>
      <c r="X374" s="9">
        <v>110.535581386</v>
      </c>
      <c r="Y374" s="75" t="s">
        <v>137</v>
      </c>
      <c r="Z374" s="9">
        <v>28.008895346499997</v>
      </c>
      <c r="AA374" s="70" t="s">
        <v>138</v>
      </c>
      <c r="AB374" s="70" t="s">
        <v>137</v>
      </c>
      <c r="AC374" s="9">
        <v>14.693676931567566</v>
      </c>
      <c r="AD374" s="64" t="s">
        <v>127</v>
      </c>
      <c r="AE374" s="75" t="s">
        <v>137</v>
      </c>
      <c r="AF374" s="9">
        <v>14.547013407648649</v>
      </c>
      <c r="AG374" s="70" t="s">
        <v>138</v>
      </c>
      <c r="AH374" s="70" t="s">
        <v>19</v>
      </c>
      <c r="AI374" s="9">
        <v>13.116685226591549</v>
      </c>
      <c r="AJ374" s="70" t="s">
        <v>138</v>
      </c>
      <c r="AK374" s="79" t="s">
        <v>9</v>
      </c>
      <c r="AL374" s="9">
        <v>12.990557202013424</v>
      </c>
      <c r="AM374" s="15" t="s">
        <v>127</v>
      </c>
      <c r="AN374" s="70" t="s">
        <v>19</v>
      </c>
      <c r="AO374" s="9">
        <v>12.963824652366197</v>
      </c>
      <c r="AP374" s="60"/>
      <c r="AQ374" s="70" t="s">
        <v>138</v>
      </c>
      <c r="AR374" s="9">
        <v>6.6958502320720008</v>
      </c>
      <c r="AS374" s="15" t="s">
        <v>127</v>
      </c>
      <c r="AT374" s="9">
        <v>3.3732709300300003</v>
      </c>
      <c r="AU374" s="75" t="s">
        <v>138</v>
      </c>
      <c r="AV374" s="9">
        <v>3</v>
      </c>
      <c r="AW374" s="70" t="s">
        <v>19</v>
      </c>
      <c r="AX374" s="9">
        <v>133.90317208168003</v>
      </c>
      <c r="AY374" s="75" t="s">
        <v>19</v>
      </c>
      <c r="AZ374" s="9">
        <v>1.6737896510210004</v>
      </c>
      <c r="BA374" s="75" t="s">
        <v>138</v>
      </c>
      <c r="BB374" s="75" t="s">
        <v>19</v>
      </c>
      <c r="BC374" s="9">
        <v>8.0667894641918085</v>
      </c>
      <c r="BD374" s="75" t="s">
        <v>138</v>
      </c>
      <c r="BE374" s="75" t="s">
        <v>137</v>
      </c>
      <c r="BF374" s="9">
        <v>7.6592864743005276</v>
      </c>
      <c r="BG374" s="75" t="s">
        <v>138</v>
      </c>
      <c r="BH374" s="72" t="s">
        <v>9</v>
      </c>
      <c r="BI374" s="9">
        <v>7.552104202257591</v>
      </c>
      <c r="BJ374" s="15" t="s">
        <v>127</v>
      </c>
      <c r="BK374" s="75" t="s">
        <v>19</v>
      </c>
      <c r="BL374" s="9">
        <v>6.5569270556800019</v>
      </c>
      <c r="BM374" s="15" t="s">
        <v>127</v>
      </c>
      <c r="BN374" s="75" t="s">
        <v>137</v>
      </c>
      <c r="BO374" s="9">
        <v>6.3238239781754064</v>
      </c>
    </row>
    <row r="375" spans="1:67" x14ac:dyDescent="0.45">
      <c r="A375" s="10">
        <v>351</v>
      </c>
      <c r="B375" s="10" t="s">
        <v>796</v>
      </c>
      <c r="C375" s="291" t="s">
        <v>1919</v>
      </c>
      <c r="D375" s="65"/>
      <c r="E375" s="58" t="s">
        <v>2223</v>
      </c>
      <c r="F375" s="291" t="s">
        <v>1919</v>
      </c>
      <c r="G375" s="242"/>
      <c r="H375" s="10"/>
      <c r="I375" s="62">
        <v>121.70620154000001</v>
      </c>
      <c r="J375" s="62">
        <v>121.70620154000001</v>
      </c>
      <c r="K375" s="62">
        <v>147.78610187000001</v>
      </c>
      <c r="L375" s="49">
        <v>1632.2469260703331</v>
      </c>
      <c r="M375" s="49">
        <v>1685.9292299433982</v>
      </c>
      <c r="N375" s="49">
        <v>1730.1434984804146</v>
      </c>
      <c r="O375" s="61">
        <v>16.034934169310464</v>
      </c>
      <c r="P375" s="60"/>
      <c r="Q375" s="74" t="s">
        <v>59</v>
      </c>
      <c r="R375" s="9">
        <v>5.3814232554400006</v>
      </c>
      <c r="S375" s="15" t="s">
        <v>127</v>
      </c>
      <c r="T375" s="9">
        <v>8.0853100770000008</v>
      </c>
      <c r="U375" s="74" t="s">
        <v>59</v>
      </c>
      <c r="V375" s="9">
        <v>15</v>
      </c>
      <c r="W375" s="291" t="s">
        <v>132</v>
      </c>
      <c r="X375" s="9">
        <v>95.930837201200006</v>
      </c>
      <c r="Y375" s="291" t="s">
        <v>132</v>
      </c>
      <c r="Z375" s="9">
        <v>30.945431355225807</v>
      </c>
      <c r="AA375" s="74" t="s">
        <v>59</v>
      </c>
      <c r="AB375" s="74" t="s">
        <v>1528</v>
      </c>
      <c r="AC375" s="9">
        <v>14.853388316813954</v>
      </c>
      <c r="AD375" s="64" t="s">
        <v>127</v>
      </c>
      <c r="AE375" s="291" t="s">
        <v>1528</v>
      </c>
      <c r="AF375" s="9">
        <v>14.547013407648649</v>
      </c>
      <c r="AG375" s="15" t="s">
        <v>127</v>
      </c>
      <c r="AH375" s="74" t="s">
        <v>132</v>
      </c>
      <c r="AI375" s="9">
        <v>13.494957097038169</v>
      </c>
      <c r="AJ375" s="74" t="s">
        <v>59</v>
      </c>
      <c r="AK375" s="291" t="s">
        <v>132</v>
      </c>
      <c r="AL375" s="9">
        <v>13.227801979136634</v>
      </c>
      <c r="AM375" s="15" t="s">
        <v>127</v>
      </c>
      <c r="AN375" s="74" t="s">
        <v>189</v>
      </c>
      <c r="AO375" s="9">
        <v>12.90938544778313</v>
      </c>
      <c r="AP375" s="60"/>
      <c r="AQ375" s="74" t="s">
        <v>59</v>
      </c>
      <c r="AR375" s="9">
        <v>4.7972334880480005</v>
      </c>
      <c r="AS375" s="15" t="s">
        <v>127</v>
      </c>
      <c r="AT375" s="9">
        <v>3.3732709300300003</v>
      </c>
      <c r="AU375" s="291" t="s">
        <v>59</v>
      </c>
      <c r="AV375" s="9">
        <v>4</v>
      </c>
      <c r="AW375" s="74" t="s">
        <v>132</v>
      </c>
      <c r="AX375" s="9">
        <v>124.41008836156001</v>
      </c>
      <c r="AY375" s="291" t="s">
        <v>132</v>
      </c>
      <c r="AZ375" s="9">
        <v>1.6588011781541334</v>
      </c>
      <c r="BA375" s="291" t="s">
        <v>59</v>
      </c>
      <c r="BB375" s="291" t="s">
        <v>132</v>
      </c>
      <c r="BC375" s="9">
        <v>8.5764127752916473</v>
      </c>
      <c r="BD375" s="291" t="s">
        <v>59</v>
      </c>
      <c r="BE375" s="291" t="s">
        <v>1528</v>
      </c>
      <c r="BF375" s="9">
        <v>8.0970665467620524</v>
      </c>
      <c r="BG375" s="291" t="s">
        <v>59</v>
      </c>
      <c r="BH375" s="74" t="s">
        <v>189</v>
      </c>
      <c r="BI375" s="9">
        <v>8.0961853363667799</v>
      </c>
      <c r="BJ375" s="15" t="s">
        <v>127</v>
      </c>
      <c r="BK375" s="291" t="s">
        <v>132</v>
      </c>
      <c r="BL375" s="9">
        <v>6.5170843698100001</v>
      </c>
      <c r="BM375" s="15" t="s">
        <v>127</v>
      </c>
      <c r="BN375" s="291" t="s">
        <v>1528</v>
      </c>
      <c r="BO375" s="9">
        <v>6.3238239781754064</v>
      </c>
    </row>
    <row r="376" spans="1:67" x14ac:dyDescent="0.45">
      <c r="A376" s="10">
        <v>353</v>
      </c>
      <c r="B376" s="10" t="s">
        <v>790</v>
      </c>
      <c r="C376" s="77" t="s">
        <v>1888</v>
      </c>
      <c r="D376" s="65"/>
      <c r="E376" s="77" t="s">
        <v>2167</v>
      </c>
      <c r="F376" s="63" t="s">
        <v>2109</v>
      </c>
      <c r="G376" s="64" t="s">
        <v>2295</v>
      </c>
      <c r="H376" s="10"/>
      <c r="I376" s="62">
        <v>120.91590153000001</v>
      </c>
      <c r="J376" s="62">
        <v>63.224000800000006</v>
      </c>
      <c r="K376" s="62">
        <v>112.22260142</v>
      </c>
      <c r="L376" s="49">
        <v>1018.5082973800493</v>
      </c>
      <c r="M376" s="49">
        <v>902.88093568025511</v>
      </c>
      <c r="N376" s="49">
        <v>819.90439102338371</v>
      </c>
      <c r="O376" s="61">
        <v>6.6732521431208864</v>
      </c>
      <c r="P376" s="60"/>
      <c r="Q376" s="67" t="s">
        <v>14</v>
      </c>
      <c r="R376" s="9">
        <v>7.045795076500001</v>
      </c>
      <c r="S376" s="67" t="s">
        <v>14</v>
      </c>
      <c r="T376" s="9">
        <v>7.8286611961111117</v>
      </c>
      <c r="U376" s="68" t="s">
        <v>277</v>
      </c>
      <c r="V376" s="9">
        <v>12.727</v>
      </c>
      <c r="W376" s="77" t="s">
        <v>129</v>
      </c>
      <c r="X376" s="9">
        <v>44.529724550800005</v>
      </c>
      <c r="Y376" s="64" t="s">
        <v>52</v>
      </c>
      <c r="Z376" s="9">
        <v>31.65754681107143</v>
      </c>
      <c r="AA376" s="67" t="s">
        <v>14</v>
      </c>
      <c r="AB376" s="15" t="s">
        <v>52</v>
      </c>
      <c r="AC376" s="9">
        <v>11.964252914410009</v>
      </c>
      <c r="AD376" s="77" t="s">
        <v>277</v>
      </c>
      <c r="AE376" s="64" t="s">
        <v>52</v>
      </c>
      <c r="AF376" s="9">
        <v>11.557591130484218</v>
      </c>
      <c r="AG376" s="67" t="s">
        <v>14</v>
      </c>
      <c r="AH376" s="68" t="s">
        <v>1486</v>
      </c>
      <c r="AI376" s="9">
        <v>11.249167061426693</v>
      </c>
      <c r="AJ376" s="67" t="s">
        <v>14</v>
      </c>
      <c r="AK376" s="77" t="s">
        <v>129</v>
      </c>
      <c r="AL376" s="9">
        <v>11.009609280441522</v>
      </c>
      <c r="AM376" s="68" t="s">
        <v>277</v>
      </c>
      <c r="AN376" s="68" t="s">
        <v>1486</v>
      </c>
      <c r="AO376" s="9">
        <v>10.870942336021297</v>
      </c>
      <c r="AP376" s="60"/>
      <c r="AQ376" s="68" t="s">
        <v>2501</v>
      </c>
      <c r="AR376" s="9">
        <v>5.7157201596700009</v>
      </c>
      <c r="AS376" s="67" t="s">
        <v>14</v>
      </c>
      <c r="AT376" s="9">
        <v>2.8578600798350005</v>
      </c>
      <c r="AU376" s="77" t="s">
        <v>2502</v>
      </c>
      <c r="AV376" s="9">
        <v>3</v>
      </c>
      <c r="AW376" s="15" t="s">
        <v>52</v>
      </c>
      <c r="AX376" s="9">
        <v>103.17393679285001</v>
      </c>
      <c r="AY376" s="64" t="s">
        <v>52</v>
      </c>
      <c r="AZ376" s="9">
        <v>1.4739133827550002</v>
      </c>
      <c r="BA376" s="76" t="s">
        <v>14</v>
      </c>
      <c r="BB376" s="64" t="s">
        <v>52</v>
      </c>
      <c r="BC376" s="9">
        <v>6.9804385748904121</v>
      </c>
      <c r="BD376" s="77" t="s">
        <v>277</v>
      </c>
      <c r="BE376" s="64" t="s">
        <v>52</v>
      </c>
      <c r="BF376" s="9">
        <v>6.0669673164956635</v>
      </c>
      <c r="BG376" s="76" t="s">
        <v>14</v>
      </c>
      <c r="BH376" s="68" t="s">
        <v>1486</v>
      </c>
      <c r="BI376" s="9">
        <v>6.0182792554302331</v>
      </c>
      <c r="BJ376" s="67" t="s">
        <v>14</v>
      </c>
      <c r="BK376" s="77" t="s">
        <v>151</v>
      </c>
      <c r="BL376" s="9">
        <v>5.6890689246390629</v>
      </c>
      <c r="BM376" s="67" t="s">
        <v>14</v>
      </c>
      <c r="BN376" s="77" t="s">
        <v>129</v>
      </c>
      <c r="BO376" s="9">
        <v>5.6887625886042255</v>
      </c>
    </row>
    <row r="377" spans="1:67" x14ac:dyDescent="0.45">
      <c r="A377" s="10">
        <v>354</v>
      </c>
      <c r="B377" s="10" t="s">
        <v>191</v>
      </c>
      <c r="C377" s="77" t="s">
        <v>1888</v>
      </c>
      <c r="D377" s="65"/>
      <c r="E377" s="77" t="s">
        <v>2167</v>
      </c>
      <c r="F377" s="63" t="s">
        <v>2109</v>
      </c>
      <c r="G377" s="64" t="s">
        <v>2295</v>
      </c>
      <c r="H377" s="10"/>
      <c r="I377" s="62">
        <v>184.13990233000001</v>
      </c>
      <c r="J377" s="62">
        <v>111.43230141000001</v>
      </c>
      <c r="K377" s="62">
        <v>139.88310177</v>
      </c>
      <c r="L377" s="49">
        <v>2298.9847233081837</v>
      </c>
      <c r="M377" s="49">
        <v>2019.6812867606834</v>
      </c>
      <c r="N377" s="49">
        <v>1820.8754748645085</v>
      </c>
      <c r="O377" s="61">
        <v>14.024692227160871</v>
      </c>
      <c r="P377" s="60"/>
      <c r="Q377" s="68" t="s">
        <v>70</v>
      </c>
      <c r="R377" s="9">
        <v>12.048394139800001</v>
      </c>
      <c r="S377" s="68" t="s">
        <v>49</v>
      </c>
      <c r="T377" s="9">
        <v>15.633649608314288</v>
      </c>
      <c r="U377" s="68" t="s">
        <v>70</v>
      </c>
      <c r="V377" s="9">
        <v>12.5</v>
      </c>
      <c r="W377" s="77" t="s">
        <v>73</v>
      </c>
      <c r="X377" s="9">
        <v>111.483941398</v>
      </c>
      <c r="Y377" s="64" t="s">
        <v>52</v>
      </c>
      <c r="Z377" s="9">
        <v>47.463547011071434</v>
      </c>
      <c r="AA377" s="68" t="s">
        <v>49</v>
      </c>
      <c r="AB377" s="68" t="s">
        <v>73</v>
      </c>
      <c r="AC377" s="9">
        <v>22.944931786396229</v>
      </c>
      <c r="AD377" s="77" t="s">
        <v>70</v>
      </c>
      <c r="AE377" s="77" t="s">
        <v>73</v>
      </c>
      <c r="AF377" s="9">
        <v>21.663607885333334</v>
      </c>
      <c r="AG377" s="68" t="s">
        <v>49</v>
      </c>
      <c r="AH377" s="15" t="s">
        <v>52</v>
      </c>
      <c r="AI377" s="9">
        <v>20.489057686700967</v>
      </c>
      <c r="AJ377" s="68" t="s">
        <v>49</v>
      </c>
      <c r="AK377" s="65" t="s">
        <v>63</v>
      </c>
      <c r="AL377" s="9">
        <v>19.742811487160715</v>
      </c>
      <c r="AM377" s="68" t="s">
        <v>49</v>
      </c>
      <c r="AN377" s="51" t="s">
        <v>222</v>
      </c>
      <c r="AO377" s="9">
        <v>19.518208496779021</v>
      </c>
      <c r="AP377" s="60"/>
      <c r="AQ377" s="68" t="s">
        <v>2461</v>
      </c>
      <c r="AR377" s="9">
        <v>9.6177474290440017</v>
      </c>
      <c r="AS377" s="68" t="s">
        <v>49</v>
      </c>
      <c r="AT377" s="9">
        <v>4.8088737145220009</v>
      </c>
      <c r="AU377" s="77" t="s">
        <v>49</v>
      </c>
      <c r="AV377" s="9">
        <v>4</v>
      </c>
      <c r="AW377" s="15" t="s">
        <v>52</v>
      </c>
      <c r="AX377" s="9">
        <v>156.59821746885001</v>
      </c>
      <c r="AY377" s="77" t="s">
        <v>73</v>
      </c>
      <c r="AZ377" s="9">
        <v>2.629620433043637</v>
      </c>
      <c r="BA377" s="77" t="s">
        <v>49</v>
      </c>
      <c r="BB377" s="77" t="s">
        <v>73</v>
      </c>
      <c r="BC377" s="9">
        <v>14.288212704547631</v>
      </c>
      <c r="BD377" s="77" t="s">
        <v>49</v>
      </c>
      <c r="BE377" s="64" t="s">
        <v>52</v>
      </c>
      <c r="BF377" s="9">
        <v>13.01370310664784</v>
      </c>
      <c r="BG377" s="77" t="s">
        <v>49</v>
      </c>
      <c r="BH377" s="51" t="s">
        <v>222</v>
      </c>
      <c r="BI377" s="9">
        <v>12.051502639520626</v>
      </c>
      <c r="BJ377" s="68" t="s">
        <v>70</v>
      </c>
      <c r="BK377" s="77" t="s">
        <v>73</v>
      </c>
      <c r="BL377" s="9">
        <v>12.044866310163751</v>
      </c>
      <c r="BM377" s="68" t="s">
        <v>49</v>
      </c>
      <c r="BN377" s="65" t="s">
        <v>63</v>
      </c>
      <c r="BO377" s="9">
        <v>11.719747036220813</v>
      </c>
    </row>
    <row r="378" spans="1:67" x14ac:dyDescent="0.45">
      <c r="A378" s="10">
        <v>355</v>
      </c>
      <c r="B378" s="10" t="s">
        <v>788</v>
      </c>
      <c r="C378" s="77" t="s">
        <v>1888</v>
      </c>
      <c r="D378" s="65"/>
      <c r="E378" s="77" t="s">
        <v>2167</v>
      </c>
      <c r="F378" s="63" t="s">
        <v>2109</v>
      </c>
      <c r="G378" s="64" t="s">
        <v>2295</v>
      </c>
      <c r="H378" s="10"/>
      <c r="I378" s="62">
        <v>67.175500850000006</v>
      </c>
      <c r="J378" s="62">
        <v>139.88310177</v>
      </c>
      <c r="K378" s="62">
        <v>79.030000999999999</v>
      </c>
      <c r="L378" s="49">
        <v>706.3005326399491</v>
      </c>
      <c r="M378" s="49">
        <v>820.05963629695145</v>
      </c>
      <c r="N378" s="49">
        <v>924.12380634434999</v>
      </c>
      <c r="O378" s="61">
        <v>9.6983292897316922</v>
      </c>
      <c r="P378" s="60"/>
      <c r="Q378" s="68" t="s">
        <v>70</v>
      </c>
      <c r="R378" s="9">
        <v>5.0305300510000004</v>
      </c>
      <c r="S378" s="68" t="s">
        <v>70</v>
      </c>
      <c r="T378" s="9">
        <v>4.1921083758333335</v>
      </c>
      <c r="U378" s="68" t="s">
        <v>277</v>
      </c>
      <c r="V378" s="9">
        <v>12.727</v>
      </c>
      <c r="W378" s="77" t="s">
        <v>129</v>
      </c>
      <c r="X378" s="9">
        <v>25.183180306000001</v>
      </c>
      <c r="Y378" s="64" t="s">
        <v>52</v>
      </c>
      <c r="Z378" s="9">
        <v>18.222446641071429</v>
      </c>
      <c r="AA378" s="68" t="s">
        <v>70</v>
      </c>
      <c r="AB378" s="15" t="s">
        <v>52</v>
      </c>
      <c r="AC378" s="9">
        <v>7.1093074210808584</v>
      </c>
      <c r="AD378" s="77" t="s">
        <v>277</v>
      </c>
      <c r="AE378" s="64" t="s">
        <v>52</v>
      </c>
      <c r="AF378" s="9">
        <v>6.8736179004842173</v>
      </c>
      <c r="AG378" s="68" t="s">
        <v>70</v>
      </c>
      <c r="AH378" s="68" t="s">
        <v>1486</v>
      </c>
      <c r="AI378" s="9">
        <v>6.5097193135346769</v>
      </c>
      <c r="AJ378" s="68" t="s">
        <v>70</v>
      </c>
      <c r="AK378" s="77" t="s">
        <v>129</v>
      </c>
      <c r="AL378" s="9">
        <v>6.3563051226262628</v>
      </c>
      <c r="AM378" s="68" t="s">
        <v>277</v>
      </c>
      <c r="AN378" s="68" t="s">
        <v>1486</v>
      </c>
      <c r="AO378" s="9">
        <v>6.3448872932720226</v>
      </c>
      <c r="AP378" s="60"/>
      <c r="AQ378" s="68" t="s">
        <v>70</v>
      </c>
      <c r="AR378" s="9">
        <v>4.1438134397800006</v>
      </c>
      <c r="AS378" s="68" t="s">
        <v>70</v>
      </c>
      <c r="AT378" s="9">
        <v>1.3812711465933336</v>
      </c>
      <c r="AU378" s="77" t="s">
        <v>70</v>
      </c>
      <c r="AV378" s="9">
        <v>3.6666666666666998</v>
      </c>
      <c r="AW378" s="15" t="s">
        <v>52</v>
      </c>
      <c r="AX378" s="9">
        <v>57.763298218250007</v>
      </c>
      <c r="AY378" s="64" t="s">
        <v>52</v>
      </c>
      <c r="AZ378" s="9">
        <v>0.82518997454642873</v>
      </c>
      <c r="BA378" s="77" t="s">
        <v>70</v>
      </c>
      <c r="BB378" s="64" t="s">
        <v>52</v>
      </c>
      <c r="BC378" s="9">
        <v>4.1876163854540724</v>
      </c>
      <c r="BD378" s="77" t="s">
        <v>70</v>
      </c>
      <c r="BE378" s="77" t="s">
        <v>1486</v>
      </c>
      <c r="BF378" s="9">
        <v>3.5491254674633597</v>
      </c>
      <c r="BG378" s="77" t="s">
        <v>277</v>
      </c>
      <c r="BH378" s="15" t="s">
        <v>52</v>
      </c>
      <c r="BI378" s="9">
        <v>3.5308621063230601</v>
      </c>
      <c r="BJ378" s="68" t="s">
        <v>70</v>
      </c>
      <c r="BK378" s="77" t="s">
        <v>151</v>
      </c>
      <c r="BL378" s="9">
        <v>3.3264007084698632</v>
      </c>
      <c r="BM378" s="68" t="s">
        <v>70</v>
      </c>
      <c r="BN378" s="77" t="s">
        <v>129</v>
      </c>
      <c r="BO378" s="9">
        <v>3.3223250997937503</v>
      </c>
    </row>
    <row r="379" spans="1:67" x14ac:dyDescent="0.45">
      <c r="A379" s="10">
        <v>356</v>
      </c>
      <c r="B379" s="10" t="s">
        <v>15</v>
      </c>
      <c r="C379" s="77" t="s">
        <v>1888</v>
      </c>
      <c r="D379" s="65"/>
      <c r="E379" s="77" t="s">
        <v>2167</v>
      </c>
      <c r="F379" s="63" t="s">
        <v>2109</v>
      </c>
      <c r="G379" s="64" t="s">
        <v>2295</v>
      </c>
      <c r="H379" s="10"/>
      <c r="I379" s="62">
        <v>109.85170139</v>
      </c>
      <c r="J379" s="62">
        <v>196.78470249</v>
      </c>
      <c r="K379" s="62">
        <v>106.69050135000001</v>
      </c>
      <c r="L379" s="49">
        <v>1591.7150876634357</v>
      </c>
      <c r="M379" s="49">
        <v>1745.6181631453467</v>
      </c>
      <c r="N379" s="49">
        <v>1879.3877313097171</v>
      </c>
      <c r="O379" s="61">
        <v>17.542886805777936</v>
      </c>
      <c r="P379" s="60"/>
      <c r="Q379" s="68" t="s">
        <v>70</v>
      </c>
      <c r="R379" s="9">
        <v>7.5911020834</v>
      </c>
      <c r="S379" s="67" t="s">
        <v>14</v>
      </c>
      <c r="T379" s="9">
        <v>7.2139834105555556</v>
      </c>
      <c r="U379" s="68" t="s">
        <v>70</v>
      </c>
      <c r="V379" s="9">
        <v>12.5</v>
      </c>
      <c r="W379" s="75" t="s">
        <v>13</v>
      </c>
      <c r="X379" s="9">
        <v>31.209217882250002</v>
      </c>
      <c r="Y379" s="64" t="s">
        <v>52</v>
      </c>
      <c r="Z379" s="9">
        <v>28.891496776071431</v>
      </c>
      <c r="AA379" s="68" t="s">
        <v>70</v>
      </c>
      <c r="AB379" s="15" t="s">
        <v>52</v>
      </c>
      <c r="AC379" s="9">
        <v>11.017771331922443</v>
      </c>
      <c r="AD379" s="76" t="s">
        <v>14</v>
      </c>
      <c r="AE379" s="64" t="s">
        <v>52</v>
      </c>
      <c r="AF379" s="9">
        <v>10.976196473992195</v>
      </c>
      <c r="AG379" s="67" t="s">
        <v>14</v>
      </c>
      <c r="AH379" s="68" t="s">
        <v>1481</v>
      </c>
      <c r="AI379" s="9">
        <v>10.214109874593083</v>
      </c>
      <c r="AJ379" s="68" t="s">
        <v>70</v>
      </c>
      <c r="AK379" s="77" t="s">
        <v>1481</v>
      </c>
      <c r="AL379" s="9">
        <v>10.129814673547076</v>
      </c>
      <c r="AM379" s="67" t="s">
        <v>14</v>
      </c>
      <c r="AN379" s="74" t="s">
        <v>114</v>
      </c>
      <c r="AO379" s="9">
        <v>10.033669436181883</v>
      </c>
      <c r="AP379" s="60"/>
      <c r="AQ379" s="68" t="s">
        <v>70</v>
      </c>
      <c r="AR379" s="9">
        <v>6.1410596250520006</v>
      </c>
      <c r="AS379" s="67" t="s">
        <v>14</v>
      </c>
      <c r="AT379" s="9">
        <v>2.6421081771049999</v>
      </c>
      <c r="AU379" s="77" t="s">
        <v>70</v>
      </c>
      <c r="AV379" s="9">
        <v>3.6666666666666998</v>
      </c>
      <c r="AW379" s="15" t="s">
        <v>52</v>
      </c>
      <c r="AX379" s="9">
        <v>93.824687674550006</v>
      </c>
      <c r="AY379" s="64" t="s">
        <v>52</v>
      </c>
      <c r="AZ379" s="9">
        <v>1.3403526810650002</v>
      </c>
      <c r="BA379" s="77" t="s">
        <v>70</v>
      </c>
      <c r="BB379" s="64" t="s">
        <v>52</v>
      </c>
      <c r="BC379" s="9">
        <v>6.6151390867587798</v>
      </c>
      <c r="BD379" s="76" t="s">
        <v>14</v>
      </c>
      <c r="BE379" s="64" t="s">
        <v>52</v>
      </c>
      <c r="BF379" s="9">
        <v>6.3893374715205482</v>
      </c>
      <c r="BG379" s="76" t="s">
        <v>14</v>
      </c>
      <c r="BH379" s="70" t="s">
        <v>13</v>
      </c>
      <c r="BI379" s="9">
        <v>5.2674482982552329</v>
      </c>
      <c r="BJ379" s="67" t="s">
        <v>14</v>
      </c>
      <c r="BK379" s="291" t="s">
        <v>114</v>
      </c>
      <c r="BL379" s="9">
        <v>5.2674482982552329</v>
      </c>
      <c r="BM379" s="68" t="s">
        <v>70</v>
      </c>
      <c r="BN379" s="75" t="s">
        <v>13</v>
      </c>
      <c r="BO379" s="9">
        <v>5.2567496238034739</v>
      </c>
    </row>
    <row r="380" spans="1:67" x14ac:dyDescent="0.45">
      <c r="A380" s="10">
        <v>357</v>
      </c>
      <c r="B380" s="10" t="s">
        <v>786</v>
      </c>
      <c r="C380" s="287" t="s">
        <v>2145</v>
      </c>
      <c r="D380" s="291" t="s">
        <v>1919</v>
      </c>
      <c r="E380" s="63" t="s">
        <v>2291</v>
      </c>
      <c r="F380" s="58" t="s">
        <v>2120</v>
      </c>
      <c r="G380" s="79" t="s">
        <v>1983</v>
      </c>
      <c r="H380" s="80" t="s">
        <v>1892</v>
      </c>
      <c r="I380" s="62">
        <v>119.33530151000001</v>
      </c>
      <c r="J380" s="62">
        <v>140.67340178000001</v>
      </c>
      <c r="K380" s="62">
        <v>188.09140238000001</v>
      </c>
      <c r="L380" s="49">
        <v>1941.151365854379</v>
      </c>
      <c r="M380" s="49">
        <v>2152.2856625427153</v>
      </c>
      <c r="N380" s="49">
        <v>2337.6114254471095</v>
      </c>
      <c r="O380" s="61">
        <v>23.19634820718699</v>
      </c>
      <c r="P380" s="60"/>
      <c r="Q380" s="16" t="s">
        <v>158</v>
      </c>
      <c r="R380" s="9">
        <v>11.02416532684</v>
      </c>
      <c r="S380" s="72" t="s">
        <v>64</v>
      </c>
      <c r="T380" s="9">
        <v>10.308153517780001</v>
      </c>
      <c r="U380" s="16" t="s">
        <v>158</v>
      </c>
      <c r="V380" s="9">
        <v>8.33</v>
      </c>
      <c r="W380" s="79" t="s">
        <v>169</v>
      </c>
      <c r="X380" s="9">
        <v>51.1208266342</v>
      </c>
      <c r="Y380" s="79" t="s">
        <v>169</v>
      </c>
      <c r="Z380" s="9">
        <v>21.300344430916667</v>
      </c>
      <c r="AA380" s="72" t="s">
        <v>64</v>
      </c>
      <c r="AB380" s="72" t="s">
        <v>169</v>
      </c>
      <c r="AC380" s="9">
        <v>13.99170685569282</v>
      </c>
      <c r="AD380" s="287" t="s">
        <v>158</v>
      </c>
      <c r="AE380" s="79" t="s">
        <v>169</v>
      </c>
      <c r="AF380" s="9">
        <v>13.729381935989583</v>
      </c>
      <c r="AG380" s="72" t="s">
        <v>64</v>
      </c>
      <c r="AH380" s="16" t="s">
        <v>203</v>
      </c>
      <c r="AI380" s="9">
        <v>12.492081058791889</v>
      </c>
      <c r="AJ380" s="72" t="s">
        <v>64</v>
      </c>
      <c r="AK380" s="64" t="s">
        <v>1508</v>
      </c>
      <c r="AL380" s="9">
        <v>12.150696789915186</v>
      </c>
      <c r="AM380" s="16" t="s">
        <v>158</v>
      </c>
      <c r="AN380" s="16" t="s">
        <v>203</v>
      </c>
      <c r="AO380" s="9">
        <v>12.051229258505209</v>
      </c>
      <c r="AP380" s="60"/>
      <c r="AQ380" s="72" t="s">
        <v>64</v>
      </c>
      <c r="AR380" s="9">
        <v>11.238968869558001</v>
      </c>
      <c r="AS380" s="72" t="s">
        <v>64</v>
      </c>
      <c r="AT380" s="9">
        <v>5.6194844347790003</v>
      </c>
      <c r="AU380" s="287" t="s">
        <v>158</v>
      </c>
      <c r="AV380" s="9">
        <v>3</v>
      </c>
      <c r="AW380" s="72" t="s">
        <v>169</v>
      </c>
      <c r="AX380" s="9">
        <v>66.157074624460009</v>
      </c>
      <c r="AY380" s="79" t="s">
        <v>169</v>
      </c>
      <c r="AZ380" s="9">
        <v>1.8902021321274287</v>
      </c>
      <c r="BA380" s="79" t="s">
        <v>64</v>
      </c>
      <c r="BB380" s="79" t="s">
        <v>169</v>
      </c>
      <c r="BC380" s="9">
        <v>8.8917866071941898</v>
      </c>
      <c r="BD380" s="287" t="s">
        <v>158</v>
      </c>
      <c r="BE380" s="79" t="s">
        <v>169</v>
      </c>
      <c r="BF380" s="9">
        <v>8.1019342757035986</v>
      </c>
      <c r="BG380" s="79" t="s">
        <v>64</v>
      </c>
      <c r="BH380" s="16" t="s">
        <v>203</v>
      </c>
      <c r="BI380" s="9">
        <v>7.6014146438432979</v>
      </c>
      <c r="BJ380" s="72" t="s">
        <v>64</v>
      </c>
      <c r="BK380" s="64" t="s">
        <v>1508</v>
      </c>
      <c r="BL380" s="9">
        <v>7.4310504278764293</v>
      </c>
      <c r="BM380" s="16" t="s">
        <v>158</v>
      </c>
      <c r="BN380" s="287" t="s">
        <v>203</v>
      </c>
      <c r="BO380" s="9">
        <v>6.1925959486125004</v>
      </c>
    </row>
    <row r="381" spans="1:67" x14ac:dyDescent="0.45">
      <c r="A381" s="10">
        <v>358</v>
      </c>
      <c r="B381" s="10" t="s">
        <v>35</v>
      </c>
      <c r="C381" s="242" t="s">
        <v>1925</v>
      </c>
      <c r="D381" s="65"/>
      <c r="E381" s="289" t="s">
        <v>2239</v>
      </c>
      <c r="F381" s="58" t="s">
        <v>2170</v>
      </c>
      <c r="G381" s="242"/>
      <c r="H381" s="10"/>
      <c r="I381" s="62">
        <v>150.15700190000001</v>
      </c>
      <c r="J381" s="62">
        <v>146.20550185000002</v>
      </c>
      <c r="K381" s="62">
        <v>154.89880196000001</v>
      </c>
      <c r="L381" s="49">
        <v>2259.7035906502724</v>
      </c>
      <c r="M381" s="49">
        <v>2261.3697341875531</v>
      </c>
      <c r="N381" s="49">
        <v>2262.7035334902248</v>
      </c>
      <c r="O381" s="61">
        <v>19.758286834230631</v>
      </c>
      <c r="P381" s="60"/>
      <c r="Q381" s="57" t="s">
        <v>34</v>
      </c>
      <c r="R381" s="9">
        <v>11.8113041368</v>
      </c>
      <c r="S381" s="57" t="s">
        <v>34</v>
      </c>
      <c r="T381" s="9">
        <v>10.737549215272727</v>
      </c>
      <c r="U381" s="68" t="s">
        <v>277</v>
      </c>
      <c r="V381" s="9">
        <v>12.727</v>
      </c>
      <c r="W381" s="77" t="s">
        <v>73</v>
      </c>
      <c r="X381" s="9">
        <v>76.078500950000006</v>
      </c>
      <c r="Y381" s="77" t="s">
        <v>73</v>
      </c>
      <c r="Z381" s="9">
        <v>25.359500316666669</v>
      </c>
      <c r="AA381" s="57" t="s">
        <v>34</v>
      </c>
      <c r="AB381" s="68" t="s">
        <v>73</v>
      </c>
      <c r="AC381" s="9">
        <v>16.522057343296702</v>
      </c>
      <c r="AD381" s="242" t="s">
        <v>34</v>
      </c>
      <c r="AE381" s="242" t="s">
        <v>58</v>
      </c>
      <c r="AF381" s="9">
        <v>16.048912743030886</v>
      </c>
      <c r="AG381" s="68" t="s">
        <v>277</v>
      </c>
      <c r="AH381" s="68" t="s">
        <v>73</v>
      </c>
      <c r="AI381" s="9">
        <v>14.591886774226804</v>
      </c>
      <c r="AJ381" s="68" t="s">
        <v>277</v>
      </c>
      <c r="AK381" s="242" t="s">
        <v>58</v>
      </c>
      <c r="AL381" s="9">
        <v>14.333928821495077</v>
      </c>
      <c r="AM381" s="57" t="s">
        <v>34</v>
      </c>
      <c r="AN381" s="72" t="s">
        <v>33</v>
      </c>
      <c r="AO381" s="9">
        <v>13.884214313359529</v>
      </c>
      <c r="AP381" s="60"/>
      <c r="AQ381" s="57" t="s">
        <v>34</v>
      </c>
      <c r="AR381" s="9">
        <v>10.369796918560001</v>
      </c>
      <c r="AS381" s="57" t="s">
        <v>34</v>
      </c>
      <c r="AT381" s="9">
        <v>3.4565989728533335</v>
      </c>
      <c r="AU381" s="242" t="s">
        <v>34</v>
      </c>
      <c r="AV381" s="9">
        <v>3.3333333333333002</v>
      </c>
      <c r="AW381" s="68" t="s">
        <v>73</v>
      </c>
      <c r="AX381" s="9">
        <v>98.602051235000005</v>
      </c>
      <c r="AY381" s="242" t="s">
        <v>58</v>
      </c>
      <c r="AZ381" s="9">
        <v>1.8441271786088891</v>
      </c>
      <c r="BA381" s="242" t="s">
        <v>34</v>
      </c>
      <c r="BB381" s="242" t="s">
        <v>58</v>
      </c>
      <c r="BC381" s="9">
        <v>8.9413661497186219</v>
      </c>
      <c r="BD381" s="242" t="s">
        <v>34</v>
      </c>
      <c r="BE381" s="77" t="s">
        <v>73</v>
      </c>
      <c r="BF381" s="9">
        <v>8.8934819592617149</v>
      </c>
      <c r="BG381" s="242" t="s">
        <v>34</v>
      </c>
      <c r="BH381" s="72" t="s">
        <v>33</v>
      </c>
      <c r="BI381" s="9">
        <v>7.9505593485715798</v>
      </c>
      <c r="BJ381" s="68" t="s">
        <v>277</v>
      </c>
      <c r="BK381" s="242" t="s">
        <v>58</v>
      </c>
      <c r="BL381" s="9">
        <v>7.0241397403843759</v>
      </c>
      <c r="BM381" s="68" t="s">
        <v>277</v>
      </c>
      <c r="BN381" s="77" t="s">
        <v>73</v>
      </c>
      <c r="BO381" s="9">
        <v>6.9587592069612079</v>
      </c>
    </row>
    <row r="382" spans="1:67" x14ac:dyDescent="0.45">
      <c r="A382" s="10">
        <v>359</v>
      </c>
      <c r="B382" s="10" t="s">
        <v>98</v>
      </c>
      <c r="C382" s="76" t="s">
        <v>1891</v>
      </c>
      <c r="D382" s="65"/>
      <c r="E382" s="58" t="s">
        <v>2234</v>
      </c>
      <c r="F382" s="77" t="s">
        <v>2167</v>
      </c>
      <c r="G382" s="242" t="s">
        <v>1925</v>
      </c>
      <c r="H382" s="10"/>
      <c r="I382" s="62">
        <v>206.26830261000001</v>
      </c>
      <c r="J382" s="62">
        <v>106.69050135000001</v>
      </c>
      <c r="K382" s="62">
        <v>140.67340178000001</v>
      </c>
      <c r="L382" s="49">
        <v>2526.9774569108004</v>
      </c>
      <c r="M382" s="49">
        <v>2124.1254395910846</v>
      </c>
      <c r="N382" s="49">
        <v>1848.6010460365164</v>
      </c>
      <c r="O382" s="61">
        <v>13.561619752053531</v>
      </c>
      <c r="P382" s="60"/>
      <c r="Q382" s="67" t="s">
        <v>20</v>
      </c>
      <c r="R382" s="9">
        <v>15.851317787919999</v>
      </c>
      <c r="S382" s="67" t="s">
        <v>20</v>
      </c>
      <c r="T382" s="9">
        <v>14.410288898109089</v>
      </c>
      <c r="U382" s="57" t="s">
        <v>1497</v>
      </c>
      <c r="V382" s="9">
        <v>13.333</v>
      </c>
      <c r="W382" s="290" t="s">
        <v>222</v>
      </c>
      <c r="X382" s="9">
        <v>104.134151305</v>
      </c>
      <c r="Y382" s="64" t="s">
        <v>52</v>
      </c>
      <c r="Z382" s="9">
        <v>52.995647081071432</v>
      </c>
      <c r="AA382" s="67" t="s">
        <v>20</v>
      </c>
      <c r="AB382" s="67" t="s">
        <v>160</v>
      </c>
      <c r="AC382" s="9">
        <v>22.605040030259794</v>
      </c>
      <c r="AD382" s="76" t="s">
        <v>20</v>
      </c>
      <c r="AE382" s="64" t="s">
        <v>52</v>
      </c>
      <c r="AF382" s="9">
        <v>22.54809040871951</v>
      </c>
      <c r="AG382" s="67" t="s">
        <v>20</v>
      </c>
      <c r="AH382" s="51" t="s">
        <v>222</v>
      </c>
      <c r="AI382" s="9">
        <v>20.620061929317856</v>
      </c>
      <c r="AJ382" s="57" t="s">
        <v>1497</v>
      </c>
      <c r="AK382" s="76" t="s">
        <v>160</v>
      </c>
      <c r="AL382" s="9">
        <v>20.516771486757406</v>
      </c>
      <c r="AM382" s="67" t="s">
        <v>20</v>
      </c>
      <c r="AN382" s="69" t="s">
        <v>97</v>
      </c>
      <c r="AO382" s="9">
        <v>20.05738895253273</v>
      </c>
      <c r="AP382" s="60"/>
      <c r="AQ382" s="67" t="s">
        <v>20</v>
      </c>
      <c r="AR382" s="9">
        <v>9.0444638017900001</v>
      </c>
      <c r="AS382" s="67" t="s">
        <v>20</v>
      </c>
      <c r="AT382" s="9">
        <v>3.0148212672633332</v>
      </c>
      <c r="AU382" s="242" t="s">
        <v>1497</v>
      </c>
      <c r="AV382" s="9">
        <v>4.5</v>
      </c>
      <c r="AW382" s="15" t="s">
        <v>52</v>
      </c>
      <c r="AX382" s="9">
        <v>175.29671570545</v>
      </c>
      <c r="AY382" s="76" t="s">
        <v>160</v>
      </c>
      <c r="AZ382" s="9">
        <v>2.5942284165728</v>
      </c>
      <c r="BA382" s="76" t="s">
        <v>20</v>
      </c>
      <c r="BB382" s="76" t="s">
        <v>160</v>
      </c>
      <c r="BC382" s="9">
        <v>13.119458042097056</v>
      </c>
      <c r="BD382" s="76" t="s">
        <v>20</v>
      </c>
      <c r="BE382" s="64" t="s">
        <v>52</v>
      </c>
      <c r="BF382" s="9">
        <v>13.058160404915471</v>
      </c>
      <c r="BG382" s="242" t="s">
        <v>1497</v>
      </c>
      <c r="BH382" s="67" t="s">
        <v>160</v>
      </c>
      <c r="BI382" s="9">
        <v>13.013893417454222</v>
      </c>
      <c r="BJ382" s="57" t="s">
        <v>1497</v>
      </c>
      <c r="BK382" s="64" t="s">
        <v>52</v>
      </c>
      <c r="BL382" s="9">
        <v>12.947830029608722</v>
      </c>
      <c r="BM382" s="67" t="s">
        <v>20</v>
      </c>
      <c r="BN382" s="290" t="s">
        <v>222</v>
      </c>
      <c r="BO382" s="9">
        <v>11.910025829854407</v>
      </c>
    </row>
    <row r="383" spans="1:67" x14ac:dyDescent="0.45">
      <c r="A383" s="10">
        <v>360</v>
      </c>
      <c r="B383" s="10" t="s">
        <v>780</v>
      </c>
      <c r="C383" s="242" t="s">
        <v>1925</v>
      </c>
      <c r="D383" s="65"/>
      <c r="E383" s="289" t="s">
        <v>2239</v>
      </c>
      <c r="F383" s="58" t="s">
        <v>2170</v>
      </c>
      <c r="G383" s="242"/>
      <c r="H383" s="10"/>
      <c r="I383" s="62">
        <v>44.256800560000002</v>
      </c>
      <c r="J383" s="62">
        <v>79.820301010000009</v>
      </c>
      <c r="K383" s="62">
        <v>182.55930231000002</v>
      </c>
      <c r="L383" s="49">
        <v>534.24280102323735</v>
      </c>
      <c r="M383" s="49">
        <v>746.44571389858515</v>
      </c>
      <c r="N383" s="49">
        <v>975.45192161070668</v>
      </c>
      <c r="O383" s="61">
        <v>13.494780982474641</v>
      </c>
      <c r="P383" s="60"/>
      <c r="Q383" s="55" t="s">
        <v>45</v>
      </c>
      <c r="R383" s="9">
        <v>3.6554080336000001</v>
      </c>
      <c r="S383" s="55" t="s">
        <v>45</v>
      </c>
      <c r="T383" s="9">
        <v>4.0615644817777774</v>
      </c>
      <c r="U383" s="55" t="s">
        <v>45</v>
      </c>
      <c r="V383" s="9">
        <v>8.89</v>
      </c>
      <c r="W383" s="242" t="s">
        <v>778</v>
      </c>
      <c r="X383" s="9">
        <v>16.9324482016</v>
      </c>
      <c r="Y383" s="242" t="s">
        <v>778</v>
      </c>
      <c r="Z383" s="9">
        <v>6.512480077538461</v>
      </c>
      <c r="AA383" s="55" t="s">
        <v>45</v>
      </c>
      <c r="AB383" s="57" t="s">
        <v>778</v>
      </c>
      <c r="AC383" s="9">
        <v>4.836321995331307</v>
      </c>
      <c r="AD383" s="288" t="s">
        <v>1230</v>
      </c>
      <c r="AE383" s="242" t="s">
        <v>778</v>
      </c>
      <c r="AF383" s="9">
        <v>0.9145572126848418</v>
      </c>
      <c r="AG383" s="67"/>
      <c r="AH383" s="51"/>
      <c r="AI383" s="9"/>
      <c r="AJ383" s="57"/>
      <c r="AK383" s="78"/>
      <c r="AL383" s="9"/>
      <c r="AM383" s="67"/>
      <c r="AN383" s="69"/>
      <c r="AO383" s="9"/>
      <c r="AP383" s="60"/>
      <c r="AQ383" s="55" t="s">
        <v>45</v>
      </c>
      <c r="AR383" s="9">
        <v>3.3013536291200003</v>
      </c>
      <c r="AS383" s="55" t="s">
        <v>45</v>
      </c>
      <c r="AT383" s="9">
        <v>1.6506768145600001</v>
      </c>
      <c r="AU383" s="58" t="s">
        <v>45</v>
      </c>
      <c r="AV383" s="9">
        <v>3.5</v>
      </c>
      <c r="AW383" s="57" t="s">
        <v>778</v>
      </c>
      <c r="AX383" s="9">
        <v>21.71218266208</v>
      </c>
      <c r="AY383" s="242" t="s">
        <v>778</v>
      </c>
      <c r="AZ383" s="9">
        <v>0.39476695749236362</v>
      </c>
      <c r="BA383" s="58" t="s">
        <v>45</v>
      </c>
      <c r="BB383" s="242" t="s">
        <v>778</v>
      </c>
      <c r="BC383" s="9">
        <v>2.8509378481723076</v>
      </c>
      <c r="BD383" s="288" t="s">
        <v>1230</v>
      </c>
      <c r="BE383" s="242" t="s">
        <v>778</v>
      </c>
      <c r="BF383" s="9">
        <v>1.3601128963144828</v>
      </c>
      <c r="BG383" s="78"/>
      <c r="BH383" s="67"/>
      <c r="BI383" s="9"/>
      <c r="BJ383" s="57"/>
      <c r="BK383" s="76"/>
      <c r="BL383" s="9"/>
      <c r="BM383" s="67"/>
      <c r="BN383" s="78"/>
      <c r="BO383" s="9"/>
    </row>
    <row r="384" spans="1:67" x14ac:dyDescent="0.45">
      <c r="A384" s="10">
        <v>361</v>
      </c>
      <c r="B384" s="10" t="s">
        <v>777</v>
      </c>
      <c r="C384" s="291" t="s">
        <v>1919</v>
      </c>
      <c r="D384" s="65"/>
      <c r="E384" s="58" t="s">
        <v>2223</v>
      </c>
      <c r="F384" s="291" t="s">
        <v>1919</v>
      </c>
      <c r="G384" s="242"/>
      <c r="H384" s="10"/>
      <c r="I384" s="62">
        <v>86.933001100000013</v>
      </c>
      <c r="J384" s="62">
        <v>86.933001100000013</v>
      </c>
      <c r="K384" s="62">
        <v>120.12560152</v>
      </c>
      <c r="L384" s="49">
        <v>888.37186647156045</v>
      </c>
      <c r="M384" s="49">
        <v>937.56908868300434</v>
      </c>
      <c r="N384" s="49">
        <v>978.88137966945635</v>
      </c>
      <c r="O384" s="61">
        <v>9.6076566251166362</v>
      </c>
      <c r="P384" s="60"/>
      <c r="Q384" s="68" t="s">
        <v>70</v>
      </c>
      <c r="R384" s="9">
        <v>5.3466500550000005</v>
      </c>
      <c r="S384" s="68" t="s">
        <v>70</v>
      </c>
      <c r="T384" s="9">
        <v>4.4555417125000005</v>
      </c>
      <c r="U384" s="74" t="s">
        <v>59</v>
      </c>
      <c r="V384" s="9">
        <v>15</v>
      </c>
      <c r="W384" s="291" t="s">
        <v>307</v>
      </c>
      <c r="X384" s="9">
        <v>47.943820594000002</v>
      </c>
      <c r="Y384" s="291" t="s">
        <v>307</v>
      </c>
      <c r="Z384" s="9">
        <v>17.756970590370369</v>
      </c>
      <c r="AA384" s="74" t="s">
        <v>59</v>
      </c>
      <c r="AB384" s="74" t="s">
        <v>307</v>
      </c>
      <c r="AC384" s="9">
        <v>10.228029954585637</v>
      </c>
      <c r="AD384" s="77" t="s">
        <v>70</v>
      </c>
      <c r="AE384" s="291" t="s">
        <v>307</v>
      </c>
      <c r="AF384" s="9">
        <v>9.8158190214925369</v>
      </c>
      <c r="AG384" s="74" t="s">
        <v>59</v>
      </c>
      <c r="AH384" s="68" t="s">
        <v>73</v>
      </c>
      <c r="AI384" s="9">
        <v>9.1944937918947378</v>
      </c>
      <c r="AJ384" s="68" t="s">
        <v>70</v>
      </c>
      <c r="AK384" s="77" t="s">
        <v>73</v>
      </c>
      <c r="AL384" s="9">
        <v>8.8983810571428581</v>
      </c>
      <c r="AM384" s="74" t="s">
        <v>59</v>
      </c>
      <c r="AN384" s="74" t="s">
        <v>69</v>
      </c>
      <c r="AO384" s="9">
        <v>7.5101546148088545</v>
      </c>
      <c r="AP384" s="60"/>
      <c r="AQ384" s="68" t="s">
        <v>70</v>
      </c>
      <c r="AR384" s="9">
        <v>4.3903870429000005</v>
      </c>
      <c r="AS384" s="74" t="s">
        <v>59</v>
      </c>
      <c r="AT384" s="9">
        <v>1.8561548171600002</v>
      </c>
      <c r="AU384" s="291" t="s">
        <v>59</v>
      </c>
      <c r="AV384" s="9">
        <v>4</v>
      </c>
      <c r="AW384" s="74" t="s">
        <v>307</v>
      </c>
      <c r="AX384" s="9">
        <v>62.026966772200012</v>
      </c>
      <c r="AY384" s="291" t="s">
        <v>307</v>
      </c>
      <c r="AZ384" s="9">
        <v>1.3783770393822226</v>
      </c>
      <c r="BA384" s="291" t="s">
        <v>59</v>
      </c>
      <c r="BB384" s="291" t="s">
        <v>307</v>
      </c>
      <c r="BC384" s="9">
        <v>6.7680578338979602</v>
      </c>
      <c r="BD384" s="77" t="s">
        <v>70</v>
      </c>
      <c r="BE384" s="291" t="s">
        <v>307</v>
      </c>
      <c r="BF384" s="9">
        <v>6.0264661056486304</v>
      </c>
      <c r="BG384" s="291" t="s">
        <v>59</v>
      </c>
      <c r="BH384" s="68" t="s">
        <v>73</v>
      </c>
      <c r="BI384" s="9">
        <v>5.6290562339627126</v>
      </c>
      <c r="BJ384" s="74" t="s">
        <v>59</v>
      </c>
      <c r="BK384" s="291" t="s">
        <v>69</v>
      </c>
      <c r="BL384" s="9">
        <v>5.1074600986000007</v>
      </c>
      <c r="BM384" s="68" t="s">
        <v>70</v>
      </c>
      <c r="BN384" s="77" t="s">
        <v>73</v>
      </c>
      <c r="BO384" s="9">
        <v>4.9661491205937507</v>
      </c>
    </row>
    <row r="385" spans="1:67" x14ac:dyDescent="0.45">
      <c r="A385" s="10">
        <v>362</v>
      </c>
      <c r="B385" s="10" t="s">
        <v>775</v>
      </c>
      <c r="C385" s="291" t="s">
        <v>1919</v>
      </c>
      <c r="D385" s="65"/>
      <c r="E385" s="58" t="s">
        <v>2223</v>
      </c>
      <c r="F385" s="291" t="s">
        <v>1919</v>
      </c>
      <c r="G385" s="242"/>
      <c r="H385" s="10"/>
      <c r="I385" s="62">
        <v>139.88310177</v>
      </c>
      <c r="J385" s="62">
        <v>139.88310177</v>
      </c>
      <c r="K385" s="62">
        <v>162.01150205000002</v>
      </c>
      <c r="L385" s="49">
        <v>2105.8178610031719</v>
      </c>
      <c r="M385" s="49">
        <v>2157.9973351802723</v>
      </c>
      <c r="N385" s="49">
        <v>2200.6703053062502</v>
      </c>
      <c r="O385" s="61">
        <v>19.881575043949972</v>
      </c>
      <c r="P385" s="60"/>
      <c r="Q385" s="74" t="s">
        <v>241</v>
      </c>
      <c r="R385" s="9">
        <v>11.071583327439999</v>
      </c>
      <c r="S385" s="74" t="s">
        <v>109</v>
      </c>
      <c r="T385" s="9">
        <v>10.43665122911111</v>
      </c>
      <c r="U385" s="74" t="s">
        <v>241</v>
      </c>
      <c r="V385" s="9">
        <v>10</v>
      </c>
      <c r="W385" s="291" t="s">
        <v>307</v>
      </c>
      <c r="X385" s="9">
        <v>76.536874955800002</v>
      </c>
      <c r="Y385" s="291" t="s">
        <v>307</v>
      </c>
      <c r="Z385" s="9">
        <v>28.346990724370368</v>
      </c>
      <c r="AA385" s="74" t="s">
        <v>109</v>
      </c>
      <c r="AB385" s="74" t="s">
        <v>307</v>
      </c>
      <c r="AC385" s="9">
        <v>16.245409984330326</v>
      </c>
      <c r="AD385" s="291" t="s">
        <v>241</v>
      </c>
      <c r="AE385" s="291" t="s">
        <v>307</v>
      </c>
      <c r="AF385" s="9">
        <v>15.930970409541125</v>
      </c>
      <c r="AG385" s="74" t="s">
        <v>109</v>
      </c>
      <c r="AH385" s="68" t="s">
        <v>73</v>
      </c>
      <c r="AI385" s="9">
        <v>15.031619020144928</v>
      </c>
      <c r="AJ385" s="74" t="s">
        <v>241</v>
      </c>
      <c r="AK385" s="77" t="s">
        <v>73</v>
      </c>
      <c r="AL385" s="9">
        <v>14.634143510333333</v>
      </c>
      <c r="AM385" s="74" t="s">
        <v>109</v>
      </c>
      <c r="AN385" s="53" t="s">
        <v>194</v>
      </c>
      <c r="AO385" s="9">
        <v>12.959036848375348</v>
      </c>
      <c r="AP385" s="60"/>
      <c r="AQ385" s="74" t="s">
        <v>241</v>
      </c>
      <c r="AR385" s="9">
        <v>10.819793744254</v>
      </c>
      <c r="AS385" s="74" t="s">
        <v>109</v>
      </c>
      <c r="AT385" s="9">
        <v>4.318808678321</v>
      </c>
      <c r="AU385" s="291" t="s">
        <v>241</v>
      </c>
      <c r="AV385" s="9">
        <v>3.3333333333333002</v>
      </c>
      <c r="AW385" s="74" t="s">
        <v>307</v>
      </c>
      <c r="AX385" s="9">
        <v>99.197937442539995</v>
      </c>
      <c r="AY385" s="291" t="s">
        <v>307</v>
      </c>
      <c r="AZ385" s="9">
        <v>2.2043986098342221</v>
      </c>
      <c r="BA385" s="291" t="s">
        <v>241</v>
      </c>
      <c r="BB385" s="291" t="s">
        <v>307</v>
      </c>
      <c r="BC385" s="9">
        <v>10.199104089081587</v>
      </c>
      <c r="BD385" s="291" t="s">
        <v>109</v>
      </c>
      <c r="BE385" s="291" t="s">
        <v>307</v>
      </c>
      <c r="BF385" s="9">
        <v>9.3124470343325267</v>
      </c>
      <c r="BG385" s="291" t="s">
        <v>241</v>
      </c>
      <c r="BH385" s="68" t="s">
        <v>73</v>
      </c>
      <c r="BI385" s="9">
        <v>8.653307528222685</v>
      </c>
      <c r="BJ385" s="74" t="s">
        <v>109</v>
      </c>
      <c r="BK385" s="77" t="s">
        <v>73</v>
      </c>
      <c r="BL385" s="9">
        <v>8.127730742328783</v>
      </c>
      <c r="BM385" s="74" t="s">
        <v>241</v>
      </c>
      <c r="BN385" s="59" t="s">
        <v>194</v>
      </c>
      <c r="BO385" s="9">
        <v>7.2977881782065266</v>
      </c>
    </row>
    <row r="386" spans="1:67" x14ac:dyDescent="0.45">
      <c r="A386" s="10">
        <v>363</v>
      </c>
      <c r="B386" s="10" t="s">
        <v>773</v>
      </c>
      <c r="C386" s="288" t="s">
        <v>2126</v>
      </c>
      <c r="D386" s="65"/>
      <c r="E386" s="58" t="s">
        <v>2250</v>
      </c>
      <c r="F386" s="288" t="s">
        <v>1993</v>
      </c>
      <c r="G386" s="291" t="s">
        <v>1919</v>
      </c>
      <c r="H386" s="10"/>
      <c r="I386" s="62">
        <v>86.933001100000013</v>
      </c>
      <c r="J386" s="62">
        <v>82.981501050000006</v>
      </c>
      <c r="K386" s="62">
        <v>147.78610187000001</v>
      </c>
      <c r="L386" s="49">
        <v>962.70252929053004</v>
      </c>
      <c r="M386" s="49">
        <v>1043.5975128023847</v>
      </c>
      <c r="N386" s="49">
        <v>1113.1809700590911</v>
      </c>
      <c r="O386" s="61">
        <v>11.323843071752174</v>
      </c>
      <c r="P386" s="60"/>
      <c r="Q386" s="55" t="s">
        <v>53</v>
      </c>
      <c r="R386" s="9">
        <v>7.5199750825000011</v>
      </c>
      <c r="S386" s="73" t="s">
        <v>121</v>
      </c>
      <c r="T386" s="9">
        <v>7.2159800660000002</v>
      </c>
      <c r="U386" s="73" t="s">
        <v>121</v>
      </c>
      <c r="V386" s="9">
        <v>10</v>
      </c>
      <c r="W386" s="291" t="s">
        <v>108</v>
      </c>
      <c r="X386" s="9">
        <v>42.727840528000002</v>
      </c>
      <c r="Y386" s="291" t="s">
        <v>108</v>
      </c>
      <c r="Z386" s="9">
        <v>12.036011416338029</v>
      </c>
      <c r="AA386" s="73" t="s">
        <v>121</v>
      </c>
      <c r="AB386" s="74" t="s">
        <v>108</v>
      </c>
      <c r="AC386" s="9">
        <v>9.2172796325146198</v>
      </c>
      <c r="AD386" s="288" t="s">
        <v>121</v>
      </c>
      <c r="AE386" s="288" t="s">
        <v>238</v>
      </c>
      <c r="AF386" s="9">
        <v>8.974604974634147</v>
      </c>
      <c r="AG386" s="73" t="s">
        <v>121</v>
      </c>
      <c r="AH386" s="15" t="s">
        <v>1480</v>
      </c>
      <c r="AI386" s="9">
        <v>8.9400988207006389</v>
      </c>
      <c r="AJ386" s="55" t="s">
        <v>53</v>
      </c>
      <c r="AK386" s="291" t="s">
        <v>108</v>
      </c>
      <c r="AL386" s="9">
        <v>7.9928075562686578</v>
      </c>
      <c r="AM386" s="55" t="s">
        <v>53</v>
      </c>
      <c r="AN386" s="73" t="s">
        <v>238</v>
      </c>
      <c r="AO386" s="9">
        <v>7.7434779252061858</v>
      </c>
      <c r="AP386" s="60"/>
      <c r="AQ386" s="55" t="s">
        <v>53</v>
      </c>
      <c r="AR386" s="9">
        <v>6.0855805643500007</v>
      </c>
      <c r="AS386" s="73" t="s">
        <v>121</v>
      </c>
      <c r="AT386" s="9">
        <v>3.0342322257400003</v>
      </c>
      <c r="AU386" s="288" t="s">
        <v>121</v>
      </c>
      <c r="AV386" s="9">
        <v>3</v>
      </c>
      <c r="AW386" s="74" t="s">
        <v>108</v>
      </c>
      <c r="AX386" s="9">
        <v>55.246192686400008</v>
      </c>
      <c r="AY386" s="64" t="s">
        <v>1480</v>
      </c>
      <c r="AZ386" s="9">
        <v>0.9972534408285717</v>
      </c>
      <c r="BA386" s="288" t="s">
        <v>121</v>
      </c>
      <c r="BB386" s="64" t="s">
        <v>1480</v>
      </c>
      <c r="BC386" s="9">
        <v>5.5502562944184222</v>
      </c>
      <c r="BD386" s="288" t="s">
        <v>121</v>
      </c>
      <c r="BE386" s="291" t="s">
        <v>108</v>
      </c>
      <c r="BF386" s="9">
        <v>5.5205160572</v>
      </c>
      <c r="BG386" s="288" t="s">
        <v>121</v>
      </c>
      <c r="BH386" s="73" t="s">
        <v>238</v>
      </c>
      <c r="BI386" s="9">
        <v>5.1976220531142863</v>
      </c>
      <c r="BJ386" s="55" t="s">
        <v>53</v>
      </c>
      <c r="BK386" s="64" t="s">
        <v>1480</v>
      </c>
      <c r="BL386" s="9">
        <v>4.0832358281718761</v>
      </c>
      <c r="BM386" s="55" t="s">
        <v>53</v>
      </c>
      <c r="BN386" s="291" t="s">
        <v>108</v>
      </c>
      <c r="BO386" s="9">
        <v>4.0206319928652414</v>
      </c>
    </row>
    <row r="387" spans="1:67" x14ac:dyDescent="0.45">
      <c r="A387" s="10">
        <v>364</v>
      </c>
      <c r="B387" s="10" t="s">
        <v>771</v>
      </c>
      <c r="C387" s="288" t="s">
        <v>2126</v>
      </c>
      <c r="D387" s="65"/>
      <c r="E387" s="58" t="s">
        <v>2250</v>
      </c>
      <c r="F387" s="288" t="s">
        <v>1993</v>
      </c>
      <c r="G387" s="291" t="s">
        <v>1919</v>
      </c>
      <c r="H387" s="10"/>
      <c r="I387" s="62">
        <v>120.12560152</v>
      </c>
      <c r="J387" s="62">
        <v>116.17410147000001</v>
      </c>
      <c r="K387" s="62">
        <v>175.44660222000002</v>
      </c>
      <c r="L387" s="49">
        <v>1714.9944439957512</v>
      </c>
      <c r="M387" s="49">
        <v>1816.6024948604463</v>
      </c>
      <c r="N387" s="49">
        <v>1902.2064826733101</v>
      </c>
      <c r="O387" s="61">
        <v>18.260906915891955</v>
      </c>
      <c r="P387" s="60"/>
      <c r="Q387" s="74" t="s">
        <v>59</v>
      </c>
      <c r="R387" s="9">
        <v>5.3245216547199998</v>
      </c>
      <c r="S387" s="73" t="s">
        <v>121</v>
      </c>
      <c r="T387" s="9">
        <v>9.2075360911999997</v>
      </c>
      <c r="U387" s="74" t="s">
        <v>59</v>
      </c>
      <c r="V387" s="9">
        <v>15</v>
      </c>
      <c r="W387" s="291" t="s">
        <v>108</v>
      </c>
      <c r="X387" s="9">
        <v>58.660288729599998</v>
      </c>
      <c r="Y387" s="291" t="s">
        <v>108</v>
      </c>
      <c r="Z387" s="9">
        <v>16.524024994253523</v>
      </c>
      <c r="AA387" s="73" t="s">
        <v>121</v>
      </c>
      <c r="AB387" s="74" t="s">
        <v>108</v>
      </c>
      <c r="AC387" s="9">
        <v>12.245376512935671</v>
      </c>
      <c r="AD387" s="288" t="s">
        <v>121</v>
      </c>
      <c r="AE387" s="288" t="s">
        <v>238</v>
      </c>
      <c r="AF387" s="9">
        <v>11.889077206634148</v>
      </c>
      <c r="AG387" s="73" t="s">
        <v>121</v>
      </c>
      <c r="AH387" s="15" t="s">
        <v>1480</v>
      </c>
      <c r="AI387" s="9">
        <v>11.794239621146497</v>
      </c>
      <c r="AJ387" s="74" t="s">
        <v>59</v>
      </c>
      <c r="AK387" s="291" t="s">
        <v>108</v>
      </c>
      <c r="AL387" s="9">
        <v>11.10053669423729</v>
      </c>
      <c r="AM387" s="74" t="s">
        <v>59</v>
      </c>
      <c r="AN387" s="73" t="s">
        <v>238</v>
      </c>
      <c r="AO387" s="9">
        <v>10.592014003183674</v>
      </c>
      <c r="AP387" s="60"/>
      <c r="AQ387" s="74" t="s">
        <v>59</v>
      </c>
      <c r="AR387" s="9">
        <v>4.7479187674240002</v>
      </c>
      <c r="AS387" s="73" t="s">
        <v>121</v>
      </c>
      <c r="AT387" s="9">
        <v>3.8109390755680002</v>
      </c>
      <c r="AU387" s="291" t="s">
        <v>59</v>
      </c>
      <c r="AV387" s="9">
        <v>4</v>
      </c>
      <c r="AW387" s="74" t="s">
        <v>108</v>
      </c>
      <c r="AX387" s="9">
        <v>75.958375348480004</v>
      </c>
      <c r="AY387" s="64" t="s">
        <v>1480</v>
      </c>
      <c r="AZ387" s="9">
        <v>1.3671138455085714</v>
      </c>
      <c r="BA387" s="288" t="s">
        <v>121</v>
      </c>
      <c r="BB387" s="64" t="s">
        <v>1480</v>
      </c>
      <c r="BC387" s="9">
        <v>7.2876268795600003</v>
      </c>
      <c r="BD387" s="288" t="s">
        <v>121</v>
      </c>
      <c r="BE387" s="291" t="s">
        <v>108</v>
      </c>
      <c r="BF387" s="9">
        <v>7.2465312790400009</v>
      </c>
      <c r="BG387" s="291" t="s">
        <v>59</v>
      </c>
      <c r="BH387" s="15" t="s">
        <v>1480</v>
      </c>
      <c r="BI387" s="9">
        <v>7.0380645333620508</v>
      </c>
      <c r="BJ387" s="74" t="s">
        <v>59</v>
      </c>
      <c r="BK387" s="291" t="s">
        <v>108</v>
      </c>
      <c r="BL387" s="9">
        <v>6.97298538151</v>
      </c>
      <c r="BM387" s="73" t="s">
        <v>121</v>
      </c>
      <c r="BN387" s="288" t="s">
        <v>238</v>
      </c>
      <c r="BO387" s="9">
        <v>6.8003504733942854</v>
      </c>
    </row>
    <row r="388" spans="1:67" x14ac:dyDescent="0.45">
      <c r="A388" s="10">
        <v>365</v>
      </c>
      <c r="B388" s="10" t="s">
        <v>768</v>
      </c>
      <c r="C388" s="288" t="s">
        <v>2126</v>
      </c>
      <c r="D388" s="65"/>
      <c r="E388" s="58" t="s">
        <v>2250</v>
      </c>
      <c r="F388" s="288" t="s">
        <v>1993</v>
      </c>
      <c r="G388" s="291" t="s">
        <v>1919</v>
      </c>
      <c r="H388" s="10"/>
      <c r="I388" s="62">
        <v>155.68910197000002</v>
      </c>
      <c r="J388" s="62">
        <v>150.94730191000002</v>
      </c>
      <c r="K388" s="62">
        <v>203.10710257000002</v>
      </c>
      <c r="L388" s="49">
        <v>2726.0476719492444</v>
      </c>
      <c r="M388" s="49">
        <v>2834.9089782913043</v>
      </c>
      <c r="N388" s="49">
        <v>2925.1198015411655</v>
      </c>
      <c r="O388" s="61">
        <v>26.637595901064564</v>
      </c>
      <c r="P388" s="60"/>
      <c r="Q388" s="73" t="s">
        <v>206</v>
      </c>
      <c r="R388" s="9">
        <v>15.946153789120002</v>
      </c>
      <c r="S388" s="73" t="s">
        <v>206</v>
      </c>
      <c r="T388" s="9">
        <v>13.288461490933335</v>
      </c>
      <c r="U388" s="74" t="s">
        <v>109</v>
      </c>
      <c r="V388" s="9">
        <v>8.8889999999999993</v>
      </c>
      <c r="W388" s="291" t="s">
        <v>132</v>
      </c>
      <c r="X388" s="9">
        <v>122.43749953660001</v>
      </c>
      <c r="Y388" s="291" t="s">
        <v>132</v>
      </c>
      <c r="Z388" s="9">
        <v>39.495967592451613</v>
      </c>
      <c r="AA388" s="73" t="s">
        <v>206</v>
      </c>
      <c r="AB388" s="74" t="s">
        <v>132</v>
      </c>
      <c r="AC388" s="9">
        <v>17.633021325944387</v>
      </c>
      <c r="AD388" s="291" t="s">
        <v>109</v>
      </c>
      <c r="AE388" s="291" t="s">
        <v>132</v>
      </c>
      <c r="AF388" s="9">
        <v>17.356418856297296</v>
      </c>
      <c r="AG388" s="73" t="s">
        <v>206</v>
      </c>
      <c r="AH388" s="71" t="s">
        <v>79</v>
      </c>
      <c r="AI388" s="9">
        <v>16.525123470706255</v>
      </c>
      <c r="AJ388" s="74" t="s">
        <v>109</v>
      </c>
      <c r="AK388" s="80" t="s">
        <v>79</v>
      </c>
      <c r="AL388" s="9">
        <v>15.975154961803923</v>
      </c>
      <c r="AM388" s="73" t="s">
        <v>206</v>
      </c>
      <c r="AN388" s="73" t="s">
        <v>238</v>
      </c>
      <c r="AO388" s="9">
        <v>15.518961122373836</v>
      </c>
      <c r="AP388" s="60"/>
      <c r="AQ388" s="73" t="s">
        <v>206</v>
      </c>
      <c r="AR388" s="9">
        <v>15.572499944392003</v>
      </c>
      <c r="AS388" s="73" t="s">
        <v>206</v>
      </c>
      <c r="AT388" s="9">
        <v>5.1908333147973345</v>
      </c>
      <c r="AU388" s="288" t="s">
        <v>206</v>
      </c>
      <c r="AV388" s="9">
        <v>2.6666666666666998</v>
      </c>
      <c r="AW388" s="74" t="s">
        <v>132</v>
      </c>
      <c r="AX388" s="9">
        <v>158.86874939758002</v>
      </c>
      <c r="AY388" s="291" t="s">
        <v>132</v>
      </c>
      <c r="AZ388" s="9">
        <v>2.1182499919677338</v>
      </c>
      <c r="BA388" s="288" t="s">
        <v>206</v>
      </c>
      <c r="BB388" s="291" t="s">
        <v>132</v>
      </c>
      <c r="BC388" s="9">
        <v>10.46732828759674</v>
      </c>
      <c r="BD388" s="288" t="s">
        <v>206</v>
      </c>
      <c r="BE388" s="80" t="s">
        <v>79</v>
      </c>
      <c r="BF388" s="9">
        <v>9.8113915895481796</v>
      </c>
      <c r="BG388" s="291" t="s">
        <v>109</v>
      </c>
      <c r="BH388" s="74" t="s">
        <v>132</v>
      </c>
      <c r="BI388" s="9">
        <v>9.7218749648712919</v>
      </c>
      <c r="BJ388" s="74" t="s">
        <v>109</v>
      </c>
      <c r="BK388" s="80" t="s">
        <v>79</v>
      </c>
      <c r="BL388" s="9">
        <v>9.1090971894409645</v>
      </c>
      <c r="BM388" s="73" t="s">
        <v>206</v>
      </c>
      <c r="BN388" s="288" t="s">
        <v>238</v>
      </c>
      <c r="BO388" s="9">
        <v>8.6297872024919169</v>
      </c>
    </row>
    <row r="389" spans="1:67" x14ac:dyDescent="0.45">
      <c r="A389" s="10">
        <v>366</v>
      </c>
      <c r="B389" s="10" t="s">
        <v>765</v>
      </c>
      <c r="C389" s="288" t="s">
        <v>1993</v>
      </c>
      <c r="D389" s="65"/>
      <c r="E389" s="290" t="s">
        <v>2201</v>
      </c>
      <c r="F389" s="59" t="s">
        <v>2202</v>
      </c>
      <c r="G389" s="242"/>
      <c r="H389" s="10"/>
      <c r="I389" s="62">
        <v>116.96440148000001</v>
      </c>
      <c r="J389" s="62">
        <v>118.54500150000001</v>
      </c>
      <c r="K389" s="62">
        <v>99.577801260000001</v>
      </c>
      <c r="L389" s="49">
        <v>1270.7982039326171</v>
      </c>
      <c r="M389" s="49">
        <v>1239.9370997589353</v>
      </c>
      <c r="N389" s="49">
        <v>1215.7887050268157</v>
      </c>
      <c r="O389" s="61">
        <v>10.55339801608635</v>
      </c>
      <c r="P389" s="60"/>
      <c r="Q389" s="73" t="s">
        <v>121</v>
      </c>
      <c r="R389" s="9">
        <v>4.5089320443999998</v>
      </c>
      <c r="S389" s="73" t="s">
        <v>121</v>
      </c>
      <c r="T389" s="9">
        <v>9.0178640887999997</v>
      </c>
      <c r="U389" s="73" t="s">
        <v>121</v>
      </c>
      <c r="V389" s="9">
        <v>10</v>
      </c>
      <c r="W389" s="291" t="s">
        <v>189</v>
      </c>
      <c r="X389" s="9">
        <v>53.633980666000006</v>
      </c>
      <c r="Y389" s="291" t="s">
        <v>189</v>
      </c>
      <c r="Z389" s="9">
        <v>16.252721413939398</v>
      </c>
      <c r="AA389" s="73" t="s">
        <v>121</v>
      </c>
      <c r="AB389" s="74" t="s">
        <v>189</v>
      </c>
      <c r="AC389" s="9">
        <v>11.894373627710843</v>
      </c>
      <c r="AD389" s="288" t="s">
        <v>121</v>
      </c>
      <c r="AE389" s="288" t="s">
        <v>238</v>
      </c>
      <c r="AF389" s="9">
        <v>11.611508422634147</v>
      </c>
      <c r="AG389" s="73" t="s">
        <v>121</v>
      </c>
      <c r="AH389" s="15" t="s">
        <v>1480</v>
      </c>
      <c r="AI389" s="9">
        <v>11.522416687770701</v>
      </c>
      <c r="AJ389" s="74"/>
      <c r="AK389" s="78"/>
      <c r="AL389" s="9"/>
      <c r="AM389" s="73"/>
      <c r="AN389" s="73"/>
      <c r="AO389" s="9"/>
      <c r="AP389" s="60"/>
      <c r="AQ389" s="73" t="s">
        <v>121</v>
      </c>
      <c r="AR389" s="9">
        <v>3.7369669946320001</v>
      </c>
      <c r="AS389" s="73" t="s">
        <v>121</v>
      </c>
      <c r="AT389" s="9">
        <v>3.7369669946320001</v>
      </c>
      <c r="AU389" s="288" t="s">
        <v>121</v>
      </c>
      <c r="AV389" s="9">
        <v>3</v>
      </c>
      <c r="AW389" s="74" t="s">
        <v>189</v>
      </c>
      <c r="AX389" s="9">
        <v>69.424174865800012</v>
      </c>
      <c r="AY389" s="64" t="s">
        <v>1480</v>
      </c>
      <c r="AZ389" s="9">
        <v>1.3318890450628573</v>
      </c>
      <c r="BA389" s="288" t="s">
        <v>121</v>
      </c>
      <c r="BB389" s="291" t="s">
        <v>189</v>
      </c>
      <c r="BC389" s="9">
        <v>7.1345811948648281</v>
      </c>
      <c r="BD389" s="288" t="s">
        <v>121</v>
      </c>
      <c r="BE389" s="64" t="s">
        <v>1480</v>
      </c>
      <c r="BF389" s="9">
        <v>7.1221630143084216</v>
      </c>
      <c r="BG389" s="288" t="s">
        <v>121</v>
      </c>
      <c r="BH389" s="73" t="s">
        <v>238</v>
      </c>
      <c r="BI389" s="9">
        <v>6.6477096714628567</v>
      </c>
      <c r="BJ389" s="74"/>
      <c r="BK389" s="76"/>
      <c r="BL389" s="9"/>
      <c r="BM389" s="73"/>
      <c r="BN389" s="78"/>
      <c r="BO389" s="9"/>
    </row>
    <row r="390" spans="1:67" x14ac:dyDescent="0.45">
      <c r="A390" s="10">
        <v>367</v>
      </c>
      <c r="B390" s="10" t="s">
        <v>763</v>
      </c>
      <c r="C390" s="288" t="s">
        <v>1993</v>
      </c>
      <c r="D390" s="65"/>
      <c r="E390" s="290" t="s">
        <v>2201</v>
      </c>
      <c r="F390" s="59" t="s">
        <v>2202</v>
      </c>
      <c r="G390" s="242"/>
      <c r="H390" s="10"/>
      <c r="I390" s="62">
        <v>167.54360212</v>
      </c>
      <c r="J390" s="62">
        <v>153.31820194000002</v>
      </c>
      <c r="K390" s="62">
        <v>127.23830161000001</v>
      </c>
      <c r="L390" s="49">
        <v>2340.0958088493803</v>
      </c>
      <c r="M390" s="49">
        <v>2202.3835409871299</v>
      </c>
      <c r="N390" s="49">
        <v>2098.0720778627451</v>
      </c>
      <c r="O390" s="61">
        <v>16.914627366437323</v>
      </c>
      <c r="P390" s="60"/>
      <c r="Q390" s="67" t="s">
        <v>2373</v>
      </c>
      <c r="R390" s="9">
        <v>6.0263080636000002</v>
      </c>
      <c r="S390" s="67" t="s">
        <v>2373</v>
      </c>
      <c r="T390" s="9">
        <v>12.0526161272</v>
      </c>
      <c r="U390" s="73" t="s">
        <v>121</v>
      </c>
      <c r="V390" s="9">
        <v>10</v>
      </c>
      <c r="W390" s="291" t="s">
        <v>189</v>
      </c>
      <c r="X390" s="9">
        <v>76.394620954000004</v>
      </c>
      <c r="Y390" s="288" t="s">
        <v>306</v>
      </c>
      <c r="Z390" s="9">
        <v>26.980568755789474</v>
      </c>
      <c r="AA390" s="73" t="s">
        <v>121</v>
      </c>
      <c r="AB390" s="73" t="s">
        <v>306</v>
      </c>
      <c r="AC390" s="9">
        <v>17.472318673885351</v>
      </c>
      <c r="AD390" s="76" t="s">
        <v>66</v>
      </c>
      <c r="AE390" s="288" t="s">
        <v>306</v>
      </c>
      <c r="AF390" s="9">
        <v>16.727854038351651</v>
      </c>
      <c r="AG390" s="73" t="s">
        <v>121</v>
      </c>
      <c r="AH390" s="74" t="s">
        <v>189</v>
      </c>
      <c r="AI390" s="9">
        <v>16.464783324096388</v>
      </c>
      <c r="AJ390" s="67" t="s">
        <v>66</v>
      </c>
      <c r="AK390" s="291" t="s">
        <v>189</v>
      </c>
      <c r="AL390" s="9">
        <v>15.887274528691098</v>
      </c>
      <c r="AM390" s="73" t="s">
        <v>121</v>
      </c>
      <c r="AN390" s="67" t="s">
        <v>91</v>
      </c>
      <c r="AO390" s="9">
        <v>15.277905280510204</v>
      </c>
      <c r="AP390" s="60"/>
      <c r="AQ390" s="67" t="s">
        <v>66</v>
      </c>
      <c r="AR390" s="9">
        <v>5.3561336551199998</v>
      </c>
      <c r="AS390" s="67" t="s">
        <v>66</v>
      </c>
      <c r="AT390" s="9">
        <v>5.3561336551199998</v>
      </c>
      <c r="AU390" s="288" t="s">
        <v>121</v>
      </c>
      <c r="AV390" s="9">
        <v>3</v>
      </c>
      <c r="AW390" s="74" t="s">
        <v>189</v>
      </c>
      <c r="AX390" s="9">
        <v>99.013007240200011</v>
      </c>
      <c r="AY390" s="288" t="s">
        <v>306</v>
      </c>
      <c r="AZ390" s="9">
        <v>1.8954858521942859</v>
      </c>
      <c r="BA390" s="288" t="s">
        <v>121</v>
      </c>
      <c r="BB390" s="291" t="s">
        <v>189</v>
      </c>
      <c r="BC390" s="9">
        <v>9.7873730629144831</v>
      </c>
      <c r="BD390" s="288" t="s">
        <v>121</v>
      </c>
      <c r="BE390" s="288" t="s">
        <v>306</v>
      </c>
      <c r="BF390" s="9">
        <v>9.7695848583336851</v>
      </c>
      <c r="BG390" s="288" t="s">
        <v>121</v>
      </c>
      <c r="BH390" s="67" t="s">
        <v>91</v>
      </c>
      <c r="BI390" s="9">
        <v>9.4400089567950012</v>
      </c>
      <c r="BJ390" s="67" t="s">
        <v>66</v>
      </c>
      <c r="BK390" s="288" t="s">
        <v>306</v>
      </c>
      <c r="BL390" s="9">
        <v>8.6526672319675679</v>
      </c>
      <c r="BM390" s="67" t="s">
        <v>66</v>
      </c>
      <c r="BN390" s="291" t="s">
        <v>189</v>
      </c>
      <c r="BO390" s="9">
        <v>8.6423397458245628</v>
      </c>
    </row>
    <row r="391" spans="1:67" x14ac:dyDescent="0.45">
      <c r="A391" s="10">
        <v>368</v>
      </c>
      <c r="B391" s="10" t="s">
        <v>761</v>
      </c>
      <c r="C391" s="288" t="s">
        <v>1993</v>
      </c>
      <c r="D391" s="65"/>
      <c r="E391" s="290" t="s">
        <v>2201</v>
      </c>
      <c r="F391" s="59" t="s">
        <v>2202</v>
      </c>
      <c r="G391" s="242"/>
      <c r="H391" s="10"/>
      <c r="I391" s="62">
        <v>178.60780226</v>
      </c>
      <c r="J391" s="62">
        <v>153.31820194000002</v>
      </c>
      <c r="K391" s="62">
        <v>127.23830161000001</v>
      </c>
      <c r="L391" s="49">
        <v>2494.6304377356605</v>
      </c>
      <c r="M391" s="49">
        <v>2298.3068155257911</v>
      </c>
      <c r="N391" s="49">
        <v>2152.4319765120449</v>
      </c>
      <c r="O391" s="61">
        <v>16.914627366437323</v>
      </c>
      <c r="P391" s="60"/>
      <c r="Q391" s="57" t="s">
        <v>101</v>
      </c>
      <c r="R391" s="9">
        <v>18.860780225999999</v>
      </c>
      <c r="S391" s="73" t="s">
        <v>121</v>
      </c>
      <c r="T391" s="9">
        <v>12.7164681356</v>
      </c>
      <c r="U391" s="73" t="s">
        <v>121</v>
      </c>
      <c r="V391" s="9">
        <v>10</v>
      </c>
      <c r="W391" s="242" t="s">
        <v>82</v>
      </c>
      <c r="X391" s="9">
        <v>81.373511016999998</v>
      </c>
      <c r="Y391" s="242" t="s">
        <v>82</v>
      </c>
      <c r="Z391" s="9">
        <v>29.061968220357144</v>
      </c>
      <c r="AA391" s="73" t="s">
        <v>121</v>
      </c>
      <c r="AB391" s="57" t="s">
        <v>82</v>
      </c>
      <c r="AC391" s="9">
        <v>18.584083550641026</v>
      </c>
      <c r="AD391" s="242" t="s">
        <v>101</v>
      </c>
      <c r="AE391" s="242" t="s">
        <v>82</v>
      </c>
      <c r="AF391" s="9">
        <v>17.734767840614754</v>
      </c>
      <c r="AG391" s="73" t="s">
        <v>121</v>
      </c>
      <c r="AH391" s="73" t="s">
        <v>238</v>
      </c>
      <c r="AI391" s="9">
        <v>17.02409971063415</v>
      </c>
      <c r="AJ391" s="57" t="s">
        <v>101</v>
      </c>
      <c r="AK391" s="288" t="s">
        <v>238</v>
      </c>
      <c r="AL391" s="9">
        <v>16.275532543265626</v>
      </c>
      <c r="AM391" s="73" t="s">
        <v>121</v>
      </c>
      <c r="AN391" s="14" t="s">
        <v>118</v>
      </c>
      <c r="AO391" s="9">
        <v>15.54798438894737</v>
      </c>
      <c r="AP391" s="60"/>
      <c r="AQ391" s="57" t="s">
        <v>101</v>
      </c>
      <c r="AR391" s="9">
        <v>19.57521143504</v>
      </c>
      <c r="AS391" s="73" t="s">
        <v>121</v>
      </c>
      <c r="AT391" s="9">
        <v>5.1794225728840004</v>
      </c>
      <c r="AU391" s="242" t="s">
        <v>2457</v>
      </c>
      <c r="AV391" s="9">
        <v>3</v>
      </c>
      <c r="AW391" s="57" t="s">
        <v>82</v>
      </c>
      <c r="AX391" s="9">
        <v>105.4855643221</v>
      </c>
      <c r="AY391" s="242" t="s">
        <v>82</v>
      </c>
      <c r="AZ391" s="9">
        <v>1.9179193513109092</v>
      </c>
      <c r="BA391" s="288" t="s">
        <v>121</v>
      </c>
      <c r="BB391" s="242" t="s">
        <v>82</v>
      </c>
      <c r="BC391" s="9">
        <v>10.367671284050346</v>
      </c>
      <c r="BD391" s="242" t="s">
        <v>101</v>
      </c>
      <c r="BE391" s="242" t="s">
        <v>82</v>
      </c>
      <c r="BF391" s="9">
        <v>10.096825003415518</v>
      </c>
      <c r="BG391" s="288" t="s">
        <v>121</v>
      </c>
      <c r="BH391" s="73" t="s">
        <v>238</v>
      </c>
      <c r="BI391" s="9">
        <v>9.6242053091257134</v>
      </c>
      <c r="BJ391" s="57" t="s">
        <v>101</v>
      </c>
      <c r="BK391" s="288" t="s">
        <v>238</v>
      </c>
      <c r="BL391" s="9">
        <v>9.3521865337695225</v>
      </c>
      <c r="BM391" s="73" t="s">
        <v>121</v>
      </c>
      <c r="BN391" s="65" t="s">
        <v>118</v>
      </c>
      <c r="BO391" s="9">
        <v>8.5661960371175869</v>
      </c>
    </row>
    <row r="392" spans="1:67" x14ac:dyDescent="0.45">
      <c r="A392" s="10">
        <v>369</v>
      </c>
      <c r="B392" s="10" t="s">
        <v>758</v>
      </c>
      <c r="C392" s="56" t="s">
        <v>2136</v>
      </c>
      <c r="D392" s="79" t="s">
        <v>1983</v>
      </c>
      <c r="E392" s="58" t="s">
        <v>2271</v>
      </c>
      <c r="F392" s="64" t="s">
        <v>2272</v>
      </c>
      <c r="G392" s="75" t="s">
        <v>1976</v>
      </c>
      <c r="H392" s="10"/>
      <c r="I392" s="62">
        <v>139.88310177</v>
      </c>
      <c r="J392" s="62">
        <v>172.28540218000001</v>
      </c>
      <c r="K392" s="62">
        <v>189.67200240000003</v>
      </c>
      <c r="L392" s="49">
        <v>2528.6639024031583</v>
      </c>
      <c r="M392" s="49">
        <v>2754.30042624419</v>
      </c>
      <c r="N392" s="49">
        <v>2949.2220323442193</v>
      </c>
      <c r="O392" s="61">
        <v>27.875223179442433</v>
      </c>
      <c r="P392" s="60"/>
      <c r="Q392" s="57" t="s">
        <v>95</v>
      </c>
      <c r="R392" s="9">
        <v>9.3929861062000004</v>
      </c>
      <c r="S392" s="73" t="s">
        <v>121</v>
      </c>
      <c r="T392" s="9">
        <v>10.392986106199999</v>
      </c>
      <c r="U392" s="73" t="s">
        <v>121</v>
      </c>
      <c r="V392" s="9">
        <v>10</v>
      </c>
      <c r="W392" s="288" t="s">
        <v>197</v>
      </c>
      <c r="X392" s="9">
        <v>110.1088193806</v>
      </c>
      <c r="Y392" s="288" t="s">
        <v>197</v>
      </c>
      <c r="Z392" s="9">
        <v>33.366308903212122</v>
      </c>
      <c r="AA392" s="73" t="s">
        <v>121</v>
      </c>
      <c r="AB392" s="73" t="s">
        <v>197</v>
      </c>
      <c r="AC392" s="9">
        <v>16.093133867864658</v>
      </c>
      <c r="AD392" s="288" t="s">
        <v>121</v>
      </c>
      <c r="AE392" s="288" t="s">
        <v>306</v>
      </c>
      <c r="AF392" s="9">
        <v>14.829595710509555</v>
      </c>
      <c r="AG392" s="57" t="s">
        <v>95</v>
      </c>
      <c r="AH392" s="73" t="s">
        <v>197</v>
      </c>
      <c r="AI392" s="9">
        <v>14.268439191790209</v>
      </c>
      <c r="AJ392" s="73" t="s">
        <v>121</v>
      </c>
      <c r="AK392" s="56" t="s">
        <v>282</v>
      </c>
      <c r="AL392" s="9">
        <v>13.813783867912194</v>
      </c>
      <c r="AM392" s="57" t="s">
        <v>95</v>
      </c>
      <c r="AN392" s="73" t="s">
        <v>306</v>
      </c>
      <c r="AO392" s="9">
        <v>13.342793572155689</v>
      </c>
      <c r="AP392" s="60"/>
      <c r="AQ392" s="57" t="s">
        <v>95</v>
      </c>
      <c r="AR392" s="9">
        <v>8.2739212920400007</v>
      </c>
      <c r="AS392" s="73" t="s">
        <v>121</v>
      </c>
      <c r="AT392" s="9">
        <v>4.2732645814180001</v>
      </c>
      <c r="AU392" s="288" t="s">
        <v>121</v>
      </c>
      <c r="AV392" s="9">
        <v>3</v>
      </c>
      <c r="AW392" s="73" t="s">
        <v>197</v>
      </c>
      <c r="AX392" s="9">
        <v>142.84146519478</v>
      </c>
      <c r="AY392" s="288" t="s">
        <v>197</v>
      </c>
      <c r="AZ392" s="9">
        <v>1.9045528692637332</v>
      </c>
      <c r="BA392" s="288" t="s">
        <v>121</v>
      </c>
      <c r="BB392" s="288" t="s">
        <v>197</v>
      </c>
      <c r="BC392" s="9">
        <v>9.602810758855</v>
      </c>
      <c r="BD392" s="288" t="s">
        <v>121</v>
      </c>
      <c r="BE392" s="56" t="s">
        <v>282</v>
      </c>
      <c r="BF392" s="9">
        <v>8.8421963929806253</v>
      </c>
      <c r="BG392" s="288" t="s">
        <v>121</v>
      </c>
      <c r="BH392" s="73" t="s">
        <v>306</v>
      </c>
      <c r="BI392" s="9">
        <v>8.321776037382369</v>
      </c>
      <c r="BJ392" s="57" t="s">
        <v>95</v>
      </c>
      <c r="BK392" s="288" t="s">
        <v>197</v>
      </c>
      <c r="BL392" s="9">
        <v>6.3965060089683119</v>
      </c>
      <c r="BM392" s="57" t="s">
        <v>95</v>
      </c>
      <c r="BN392" s="56" t="s">
        <v>282</v>
      </c>
      <c r="BO392" s="9">
        <v>5.9332163087965961</v>
      </c>
    </row>
    <row r="393" spans="1:67" x14ac:dyDescent="0.45">
      <c r="A393" s="10">
        <v>370</v>
      </c>
      <c r="B393" s="10" t="s">
        <v>755</v>
      </c>
      <c r="C393" s="288" t="s">
        <v>1993</v>
      </c>
      <c r="D393" s="65"/>
      <c r="E393" s="290" t="s">
        <v>2201</v>
      </c>
      <c r="F393" s="59" t="s">
        <v>2202</v>
      </c>
      <c r="G393" s="242"/>
      <c r="H393" s="10"/>
      <c r="I393" s="62">
        <v>75.868800960000002</v>
      </c>
      <c r="J393" s="62">
        <v>113.01290143000001</v>
      </c>
      <c r="K393" s="62">
        <v>110.64200140000001</v>
      </c>
      <c r="L393" s="49">
        <v>848.37379331374746</v>
      </c>
      <c r="M393" s="49">
        <v>965.47458431284122</v>
      </c>
      <c r="N393" s="49">
        <v>1070.6899509801713</v>
      </c>
      <c r="O393" s="61">
        <v>11.23434740259615</v>
      </c>
      <c r="P393" s="60"/>
      <c r="Q393" s="73" t="s">
        <v>121</v>
      </c>
      <c r="R393" s="9">
        <v>3.2760640288</v>
      </c>
      <c r="S393" s="73" t="s">
        <v>121</v>
      </c>
      <c r="T393" s="9">
        <v>6.5521280576000001</v>
      </c>
      <c r="U393" s="73" t="s">
        <v>121</v>
      </c>
      <c r="V393" s="9">
        <v>10</v>
      </c>
      <c r="W393" s="288" t="s">
        <v>238</v>
      </c>
      <c r="X393" s="9">
        <v>32.864896403199999</v>
      </c>
      <c r="Y393" s="288" t="s">
        <v>238</v>
      </c>
      <c r="Z393" s="9">
        <v>10.270280125999999</v>
      </c>
      <c r="AA393" s="73" t="s">
        <v>121</v>
      </c>
      <c r="AB393" s="73" t="s">
        <v>238</v>
      </c>
      <c r="AC393" s="9">
        <v>8.0031142306341465</v>
      </c>
      <c r="AD393" s="288" t="s">
        <v>121</v>
      </c>
      <c r="AE393" s="65" t="s">
        <v>118</v>
      </c>
      <c r="AF393" s="9">
        <v>7.4370106021052642</v>
      </c>
      <c r="AG393" s="73" t="s">
        <v>121</v>
      </c>
      <c r="AH393" s="73" t="s">
        <v>1519</v>
      </c>
      <c r="AI393" s="9">
        <v>7.3019668176179779</v>
      </c>
      <c r="AJ393" s="73" t="s">
        <v>1230</v>
      </c>
      <c r="AK393" s="288" t="s">
        <v>238</v>
      </c>
      <c r="AL393" s="9">
        <v>1.2457458859677071</v>
      </c>
      <c r="AM393" s="73" t="s">
        <v>1230</v>
      </c>
      <c r="AN393" s="73" t="s">
        <v>1519</v>
      </c>
      <c r="AO393" s="9">
        <v>1.2137192871431601</v>
      </c>
      <c r="AP393" s="60"/>
      <c r="AQ393" s="73" t="s">
        <v>121</v>
      </c>
      <c r="AR393" s="9">
        <v>2.7753299424639999</v>
      </c>
      <c r="AS393" s="73" t="s">
        <v>121</v>
      </c>
      <c r="AT393" s="9">
        <v>2.7753299424639999</v>
      </c>
      <c r="AU393" s="288" t="s">
        <v>2495</v>
      </c>
      <c r="AV393" s="9">
        <v>3</v>
      </c>
      <c r="AW393" s="73" t="s">
        <v>238</v>
      </c>
      <c r="AX393" s="9">
        <v>42.42436532416</v>
      </c>
      <c r="AY393" s="288" t="s">
        <v>238</v>
      </c>
      <c r="AZ393" s="9">
        <v>0.70707275540266668</v>
      </c>
      <c r="BA393" s="288" t="s">
        <v>121</v>
      </c>
      <c r="BB393" s="288" t="s">
        <v>238</v>
      </c>
      <c r="BC393" s="9">
        <v>4.6633792463542862</v>
      </c>
      <c r="BD393" s="288" t="s">
        <v>121</v>
      </c>
      <c r="BE393" s="288" t="s">
        <v>1519</v>
      </c>
      <c r="BF393" s="9">
        <v>4.3287436421200001</v>
      </c>
      <c r="BG393" s="288" t="s">
        <v>121</v>
      </c>
      <c r="BH393" s="14" t="s">
        <v>118</v>
      </c>
      <c r="BI393" s="9">
        <v>4.2139593785986209</v>
      </c>
      <c r="BJ393" s="73" t="s">
        <v>1230</v>
      </c>
      <c r="BK393" s="288" t="s">
        <v>238</v>
      </c>
      <c r="BL393" s="9">
        <v>2.2583031106742859</v>
      </c>
      <c r="BM393" s="73" t="s">
        <v>1230</v>
      </c>
      <c r="BN393" s="288" t="s">
        <v>1519</v>
      </c>
      <c r="BO393" s="9">
        <v>1.96124682106</v>
      </c>
    </row>
    <row r="394" spans="1:67" x14ac:dyDescent="0.45">
      <c r="A394" s="10">
        <v>371</v>
      </c>
      <c r="B394" s="10" t="s">
        <v>752</v>
      </c>
      <c r="C394" s="78" t="s">
        <v>1893</v>
      </c>
      <c r="D394" s="65"/>
      <c r="E394" s="291" t="s">
        <v>2278</v>
      </c>
      <c r="F394" s="75" t="s">
        <v>2279</v>
      </c>
      <c r="G394" s="242"/>
      <c r="H394" s="10"/>
      <c r="I394" s="62">
        <v>117.75470149</v>
      </c>
      <c r="J394" s="62">
        <v>85.352401080000007</v>
      </c>
      <c r="K394" s="62">
        <v>113.01290143000001</v>
      </c>
      <c r="L394" s="49">
        <v>1156.5119903493187</v>
      </c>
      <c r="M394" s="49">
        <v>1088.6326341662025</v>
      </c>
      <c r="N394" s="49">
        <v>1037.2090956526017</v>
      </c>
      <c r="O394" s="61">
        <v>8.8873645835854909</v>
      </c>
      <c r="P394" s="60"/>
      <c r="Q394" s="70" t="s">
        <v>138</v>
      </c>
      <c r="R394" s="9">
        <v>6.8877350745000001</v>
      </c>
      <c r="S394" s="67" t="s">
        <v>66</v>
      </c>
      <c r="T394" s="9">
        <v>9.0652820894000001</v>
      </c>
      <c r="U394" s="70" t="s">
        <v>138</v>
      </c>
      <c r="V394" s="9">
        <v>10</v>
      </c>
      <c r="W394" s="75" t="s">
        <v>2429</v>
      </c>
      <c r="X394" s="9">
        <v>42.214145521500001</v>
      </c>
      <c r="Y394" s="64" t="s">
        <v>52</v>
      </c>
      <c r="Z394" s="9">
        <v>30.867246801071431</v>
      </c>
      <c r="AA394" s="67" t="s">
        <v>66</v>
      </c>
      <c r="AB394" s="15" t="s">
        <v>52</v>
      </c>
      <c r="AC394" s="9">
        <v>12.201181123270548</v>
      </c>
      <c r="AD394" s="76" t="s">
        <v>66</v>
      </c>
      <c r="AE394" s="75" t="s">
        <v>76</v>
      </c>
      <c r="AF394" s="9">
        <v>11.700847169260356</v>
      </c>
      <c r="AG394" s="70" t="s">
        <v>138</v>
      </c>
      <c r="AH394" s="15" t="s">
        <v>52</v>
      </c>
      <c r="AI394" s="9">
        <v>11.049468514648762</v>
      </c>
      <c r="AJ394" s="67" t="s">
        <v>66</v>
      </c>
      <c r="AK394" s="76" t="s">
        <v>91</v>
      </c>
      <c r="AL394" s="9">
        <v>10.857848990135748</v>
      </c>
      <c r="AM394" s="70" t="s">
        <v>138</v>
      </c>
      <c r="AN394" s="70" t="s">
        <v>76</v>
      </c>
      <c r="AO394" s="9">
        <v>10.646225124166667</v>
      </c>
      <c r="AP394" s="60"/>
      <c r="AQ394" s="70" t="s">
        <v>138</v>
      </c>
      <c r="AR394" s="9">
        <v>5.5924333581100001</v>
      </c>
      <c r="AS394" s="67" t="s">
        <v>66</v>
      </c>
      <c r="AT394" s="9">
        <v>4.0616222387400001</v>
      </c>
      <c r="AU394" s="75" t="s">
        <v>138</v>
      </c>
      <c r="AV394" s="9">
        <v>3</v>
      </c>
      <c r="AW394" s="15" t="s">
        <v>52</v>
      </c>
      <c r="AX394" s="9">
        <v>100.50272275905</v>
      </c>
      <c r="AY394" s="64" t="s">
        <v>52</v>
      </c>
      <c r="AZ394" s="9">
        <v>1.435753182272143</v>
      </c>
      <c r="BA394" s="75" t="s">
        <v>138</v>
      </c>
      <c r="BB394" s="64" t="s">
        <v>52</v>
      </c>
      <c r="BC394" s="9">
        <v>6.8115525453561645</v>
      </c>
      <c r="BD394" s="76" t="s">
        <v>66</v>
      </c>
      <c r="BE394" s="64" t="s">
        <v>52</v>
      </c>
      <c r="BF394" s="9">
        <v>6.7405416976375001</v>
      </c>
      <c r="BG394" s="76" t="s">
        <v>66</v>
      </c>
      <c r="BH394" s="70" t="s">
        <v>76</v>
      </c>
      <c r="BI394" s="9">
        <v>6.3712670855087721</v>
      </c>
      <c r="BJ394" s="70" t="s">
        <v>138</v>
      </c>
      <c r="BK394" s="75" t="s">
        <v>76</v>
      </c>
      <c r="BL394" s="9">
        <v>6.2664037666030179</v>
      </c>
      <c r="BM394" s="67" t="s">
        <v>66</v>
      </c>
      <c r="BN394" s="76" t="s">
        <v>91</v>
      </c>
      <c r="BO394" s="9">
        <v>6.21127189572766</v>
      </c>
    </row>
    <row r="395" spans="1:67" x14ac:dyDescent="0.45">
      <c r="A395" s="10">
        <v>372</v>
      </c>
      <c r="B395" s="10" t="s">
        <v>750</v>
      </c>
      <c r="C395" s="78" t="s">
        <v>1893</v>
      </c>
      <c r="D395" s="65"/>
      <c r="E395" s="291" t="s">
        <v>2278</v>
      </c>
      <c r="F395" s="75" t="s">
        <v>2279</v>
      </c>
      <c r="G395" s="242"/>
      <c r="H395" s="10"/>
      <c r="I395" s="62">
        <v>147.78610187000001</v>
      </c>
      <c r="J395" s="62">
        <v>134.35100170000001</v>
      </c>
      <c r="K395" s="62">
        <v>140.67340178000001</v>
      </c>
      <c r="L395" s="49">
        <v>2031.7021643560879</v>
      </c>
      <c r="M395" s="49">
        <v>1983.3117964933147</v>
      </c>
      <c r="N395" s="49">
        <v>1945.4306615952314</v>
      </c>
      <c r="O395" s="61">
        <v>16.661167851366621</v>
      </c>
      <c r="P395" s="60"/>
      <c r="Q395" s="70" t="s">
        <v>138</v>
      </c>
      <c r="R395" s="9">
        <v>8.3893050935000009</v>
      </c>
      <c r="S395" s="66" t="s">
        <v>254</v>
      </c>
      <c r="T395" s="9">
        <v>12.640599334640001</v>
      </c>
      <c r="U395" s="70" t="s">
        <v>138</v>
      </c>
      <c r="V395" s="9">
        <v>10</v>
      </c>
      <c r="W395" s="78" t="s">
        <v>253</v>
      </c>
      <c r="X395" s="9">
        <v>80.804495009800007</v>
      </c>
      <c r="Y395" s="64" t="s">
        <v>52</v>
      </c>
      <c r="Z395" s="9">
        <v>38.375096896071433</v>
      </c>
      <c r="AA395" s="66" t="s">
        <v>254</v>
      </c>
      <c r="AB395" s="15" t="s">
        <v>52</v>
      </c>
      <c r="AC395" s="9">
        <v>16.342136655119862</v>
      </c>
      <c r="AD395" s="78" t="s">
        <v>254</v>
      </c>
      <c r="AE395" s="78" t="s">
        <v>253</v>
      </c>
      <c r="AF395" s="9">
        <v>16.224186888456856</v>
      </c>
      <c r="AG395" s="66" t="s">
        <v>254</v>
      </c>
      <c r="AH395" s="70" t="s">
        <v>76</v>
      </c>
      <c r="AI395" s="9">
        <v>15.589216745088761</v>
      </c>
      <c r="AJ395" s="70" t="s">
        <v>138</v>
      </c>
      <c r="AK395" s="78" t="s">
        <v>253</v>
      </c>
      <c r="AL395" s="9">
        <v>14.273374474104653</v>
      </c>
      <c r="AM395" s="70" t="s">
        <v>138</v>
      </c>
      <c r="AN395" s="15" t="s">
        <v>52</v>
      </c>
      <c r="AO395" s="9">
        <v>13.593450778243804</v>
      </c>
      <c r="AP395" s="60"/>
      <c r="AQ395" s="70" t="s">
        <v>138</v>
      </c>
      <c r="AR395" s="9">
        <v>6.7636579729300008</v>
      </c>
      <c r="AS395" s="66" t="s">
        <v>254</v>
      </c>
      <c r="AT395" s="9">
        <v>5.6109263783440007</v>
      </c>
      <c r="AU395" s="75" t="s">
        <v>2503</v>
      </c>
      <c r="AV395" s="9">
        <v>3</v>
      </c>
      <c r="AW395" s="15" t="s">
        <v>52</v>
      </c>
      <c r="AX395" s="9">
        <v>125.87925608015001</v>
      </c>
      <c r="AY395" s="64" t="s">
        <v>52</v>
      </c>
      <c r="AZ395" s="9">
        <v>1.7982750868592858</v>
      </c>
      <c r="BA395" s="78" t="s">
        <v>254</v>
      </c>
      <c r="BB395" s="64" t="s">
        <v>52</v>
      </c>
      <c r="BC395" s="9">
        <v>10.553460475678495</v>
      </c>
      <c r="BD395" s="78" t="s">
        <v>254</v>
      </c>
      <c r="BE395" s="78" t="s">
        <v>253</v>
      </c>
      <c r="BF395" s="9">
        <v>10.331636718077144</v>
      </c>
      <c r="BG395" s="78" t="s">
        <v>254</v>
      </c>
      <c r="BH395" s="70" t="s">
        <v>76</v>
      </c>
      <c r="BI395" s="9">
        <v>9.8442337860477593</v>
      </c>
      <c r="BJ395" s="66" t="s">
        <v>254</v>
      </c>
      <c r="BK395" s="78" t="s">
        <v>1514</v>
      </c>
      <c r="BL395" s="9">
        <v>8.5648010894706257</v>
      </c>
      <c r="BM395" s="70" t="s">
        <v>138</v>
      </c>
      <c r="BN395" s="64" t="s">
        <v>52</v>
      </c>
      <c r="BO395" s="9">
        <v>8.4159698259315086</v>
      </c>
    </row>
    <row r="396" spans="1:67" x14ac:dyDescent="0.45">
      <c r="A396" s="10">
        <v>373</v>
      </c>
      <c r="B396" s="10" t="s">
        <v>748</v>
      </c>
      <c r="C396" s="287" t="s">
        <v>2140</v>
      </c>
      <c r="D396" s="291" t="s">
        <v>1919</v>
      </c>
      <c r="E396" s="56" t="s">
        <v>2280</v>
      </c>
      <c r="F396" s="58" t="s">
        <v>2281</v>
      </c>
      <c r="G396" s="80" t="s">
        <v>2179</v>
      </c>
      <c r="H396" s="10"/>
      <c r="I396" s="62">
        <v>230.76760292</v>
      </c>
      <c r="J396" s="62">
        <v>144.62490183</v>
      </c>
      <c r="K396" s="62">
        <v>182.55930231000002</v>
      </c>
      <c r="L396" s="49">
        <v>3749.7158723486618</v>
      </c>
      <c r="M396" s="49">
        <v>3335.9120254337367</v>
      </c>
      <c r="N396" s="49">
        <v>3037.9986122800487</v>
      </c>
      <c r="O396" s="61">
        <v>23.066614340230711</v>
      </c>
      <c r="P396" s="60"/>
      <c r="Q396" s="66" t="s">
        <v>88</v>
      </c>
      <c r="R396" s="9">
        <v>21.7690842628</v>
      </c>
      <c r="S396" s="66" t="s">
        <v>88</v>
      </c>
      <c r="T396" s="9">
        <v>19.790076602545454</v>
      </c>
      <c r="U396" s="70" t="s">
        <v>1512</v>
      </c>
      <c r="V396" s="9">
        <v>8.8889999999999993</v>
      </c>
      <c r="W396" s="78" t="s">
        <v>1503</v>
      </c>
      <c r="X396" s="9">
        <v>208.69084262799998</v>
      </c>
      <c r="Y396" s="64" t="s">
        <v>52</v>
      </c>
      <c r="Z396" s="9">
        <v>59.120472158571438</v>
      </c>
      <c r="AA396" s="66" t="s">
        <v>88</v>
      </c>
      <c r="AB396" s="66" t="s">
        <v>1503</v>
      </c>
      <c r="AC396" s="9">
        <v>27.971419867952378</v>
      </c>
      <c r="AD396" s="78" t="s">
        <v>88</v>
      </c>
      <c r="AE396" s="78" t="s">
        <v>175</v>
      </c>
      <c r="AF396" s="9">
        <v>27.394159539231964</v>
      </c>
      <c r="AG396" s="70" t="s">
        <v>1512</v>
      </c>
      <c r="AH396" s="66" t="s">
        <v>1503</v>
      </c>
      <c r="AI396" s="9">
        <v>26.254220451346402</v>
      </c>
      <c r="AJ396" s="70" t="s">
        <v>1512</v>
      </c>
      <c r="AK396" s="78" t="s">
        <v>175</v>
      </c>
      <c r="AL396" s="9">
        <v>25.836689661123359</v>
      </c>
      <c r="AM396" s="66" t="s">
        <v>88</v>
      </c>
      <c r="AN396" s="15" t="s">
        <v>52</v>
      </c>
      <c r="AO396" s="9">
        <v>25.55690729307215</v>
      </c>
      <c r="AP396" s="60"/>
      <c r="AQ396" s="66" t="s">
        <v>88</v>
      </c>
      <c r="AR396" s="9">
        <v>17.199885724984</v>
      </c>
      <c r="AS396" s="67" t="s">
        <v>66</v>
      </c>
      <c r="AT396" s="9">
        <v>6.9999576759200002</v>
      </c>
      <c r="AU396" s="78" t="s">
        <v>88</v>
      </c>
      <c r="AV396" s="9">
        <v>3.3333333333333002</v>
      </c>
      <c r="AW396" s="66" t="s">
        <v>1503</v>
      </c>
      <c r="AX396" s="9">
        <v>270.99809541640002</v>
      </c>
      <c r="AY396" s="78" t="s">
        <v>1503</v>
      </c>
      <c r="AZ396" s="9">
        <v>4.1692014679446157</v>
      </c>
      <c r="BA396" s="78" t="s">
        <v>88</v>
      </c>
      <c r="BB396" s="78" t="s">
        <v>1503</v>
      </c>
      <c r="BC396" s="9">
        <v>18.673041591648587</v>
      </c>
      <c r="BD396" s="75" t="s">
        <v>1512</v>
      </c>
      <c r="BE396" s="78" t="s">
        <v>1503</v>
      </c>
      <c r="BF396" s="9">
        <v>16.296184999641483</v>
      </c>
      <c r="BG396" s="78" t="s">
        <v>88</v>
      </c>
      <c r="BH396" s="66" t="s">
        <v>175</v>
      </c>
      <c r="BI396" s="9">
        <v>15.905153560803369</v>
      </c>
      <c r="BJ396" s="67" t="s">
        <v>66</v>
      </c>
      <c r="BK396" s="78" t="s">
        <v>1503</v>
      </c>
      <c r="BL396" s="9">
        <v>14.880499101008956</v>
      </c>
      <c r="BM396" s="66" t="s">
        <v>88</v>
      </c>
      <c r="BN396" s="64" t="s">
        <v>52</v>
      </c>
      <c r="BO396" s="9">
        <v>14.38171929737673</v>
      </c>
    </row>
    <row r="397" spans="1:67" x14ac:dyDescent="0.45">
      <c r="A397" s="10">
        <v>374</v>
      </c>
      <c r="B397" s="10" t="s">
        <v>746</v>
      </c>
      <c r="C397" s="59" t="s">
        <v>2177</v>
      </c>
      <c r="D397" s="65"/>
      <c r="E397" s="80" t="s">
        <v>2340</v>
      </c>
      <c r="F397" s="64" t="s">
        <v>2341</v>
      </c>
      <c r="G397" s="63" t="s">
        <v>2342</v>
      </c>
      <c r="H397" s="10"/>
      <c r="I397" s="62">
        <v>87.723301110000008</v>
      </c>
      <c r="J397" s="62">
        <v>116.17410147000001</v>
      </c>
      <c r="K397" s="62">
        <v>106.69050135000001</v>
      </c>
      <c r="L397" s="49">
        <v>976.63549718755598</v>
      </c>
      <c r="M397" s="49">
        <v>1057.3855299205288</v>
      </c>
      <c r="N397" s="49">
        <v>1126.7668178814135</v>
      </c>
      <c r="O397" s="61">
        <v>11.104605556961323</v>
      </c>
      <c r="P397" s="60"/>
      <c r="Q397" s="15" t="s">
        <v>173</v>
      </c>
      <c r="R397" s="9">
        <v>4.5089320444000007</v>
      </c>
      <c r="S397" s="15" t="s">
        <v>173</v>
      </c>
      <c r="T397" s="9">
        <v>3.7574433703333341</v>
      </c>
      <c r="U397" s="15" t="s">
        <v>173</v>
      </c>
      <c r="V397" s="9">
        <v>8.33</v>
      </c>
      <c r="W397" s="64" t="s">
        <v>645</v>
      </c>
      <c r="X397" s="9">
        <v>16.35157769425</v>
      </c>
      <c r="Y397" s="64" t="s">
        <v>645</v>
      </c>
      <c r="Z397" s="9">
        <v>7.432535315568181</v>
      </c>
      <c r="AA397" s="15" t="s">
        <v>173</v>
      </c>
      <c r="AB397" s="15" t="s">
        <v>645</v>
      </c>
      <c r="AC397" s="9">
        <v>5.0615082541263448</v>
      </c>
      <c r="AD397" s="78"/>
      <c r="AE397" s="76"/>
      <c r="AF397" s="9"/>
      <c r="AG397" s="66"/>
      <c r="AH397" s="15"/>
      <c r="AI397" s="9"/>
      <c r="AJ397" s="67"/>
      <c r="AK397" s="78"/>
      <c r="AL397" s="9"/>
      <c r="AM397" s="66"/>
      <c r="AN397" s="73"/>
      <c r="AO397" s="9"/>
      <c r="AP397" s="60"/>
      <c r="AQ397" s="15" t="s">
        <v>173</v>
      </c>
      <c r="AR397" s="9">
        <v>3.8510072860750002</v>
      </c>
      <c r="AS397" s="15" t="s">
        <v>173</v>
      </c>
      <c r="AT397" s="9">
        <v>1.2836690953583334</v>
      </c>
      <c r="AU397" s="64" t="s">
        <v>173</v>
      </c>
      <c r="AV397" s="9">
        <v>2.6666666666666998</v>
      </c>
      <c r="AW397" s="15" t="s">
        <v>645</v>
      </c>
      <c r="AX397" s="9">
        <v>20.957051002525002</v>
      </c>
      <c r="AY397" s="64" t="s">
        <v>645</v>
      </c>
      <c r="AZ397" s="9">
        <v>0.20957051002525001</v>
      </c>
      <c r="BA397" s="64" t="s">
        <v>173</v>
      </c>
      <c r="BB397" s="64" t="s">
        <v>645</v>
      </c>
      <c r="BC397" s="9">
        <v>1.794666028012013</v>
      </c>
      <c r="BD397" s="78"/>
      <c r="BE397" s="78"/>
      <c r="BF397" s="9"/>
      <c r="BG397" s="78"/>
      <c r="BH397" s="66"/>
      <c r="BI397" s="9"/>
      <c r="BJ397" s="66"/>
      <c r="BK397" s="76"/>
      <c r="BL397" s="9"/>
      <c r="BM397" s="66"/>
      <c r="BN397" s="78"/>
      <c r="BO397" s="9"/>
    </row>
    <row r="398" spans="1:67" x14ac:dyDescent="0.45">
      <c r="A398" s="10">
        <v>375</v>
      </c>
      <c r="B398" s="10" t="s">
        <v>745</v>
      </c>
      <c r="C398" s="59" t="s">
        <v>2177</v>
      </c>
      <c r="D398" s="65"/>
      <c r="E398" s="80" t="s">
        <v>2340</v>
      </c>
      <c r="F398" s="64" t="s">
        <v>2341</v>
      </c>
      <c r="G398" s="63" t="s">
        <v>2342</v>
      </c>
      <c r="H398" s="10"/>
      <c r="I398" s="62">
        <v>120.91590153000001</v>
      </c>
      <c r="J398" s="62">
        <v>150.94730191000002</v>
      </c>
      <c r="K398" s="62">
        <v>134.35100170000001</v>
      </c>
      <c r="L398" s="49">
        <v>1721.934192829483</v>
      </c>
      <c r="M398" s="49">
        <v>1818.4433994674523</v>
      </c>
      <c r="N398" s="49">
        <v>1899.5309673777042</v>
      </c>
      <c r="O398" s="61">
        <v>17.620199623272278</v>
      </c>
      <c r="P398" s="60"/>
      <c r="Q398" s="57" t="s">
        <v>95</v>
      </c>
      <c r="R398" s="9">
        <v>9.7059449101600013</v>
      </c>
      <c r="S398" s="53" t="s">
        <v>56</v>
      </c>
      <c r="T398" s="9">
        <v>9.7199475334857155</v>
      </c>
      <c r="U398" s="53" t="s">
        <v>56</v>
      </c>
      <c r="V398" s="9">
        <v>10</v>
      </c>
      <c r="W398" s="242" t="s">
        <v>82</v>
      </c>
      <c r="X398" s="9">
        <v>66.294586826200003</v>
      </c>
      <c r="Y398" s="242" t="s">
        <v>82</v>
      </c>
      <c r="Z398" s="9">
        <v>23.676638152214288</v>
      </c>
      <c r="AA398" s="53" t="s">
        <v>56</v>
      </c>
      <c r="AB398" s="57" t="s">
        <v>82</v>
      </c>
      <c r="AC398" s="9">
        <v>14.730041601747255</v>
      </c>
      <c r="AD398" s="242" t="s">
        <v>95</v>
      </c>
      <c r="AE398" s="242" t="s">
        <v>82</v>
      </c>
      <c r="AF398" s="9">
        <v>13.834254382771086</v>
      </c>
      <c r="AG398" s="53" t="s">
        <v>56</v>
      </c>
      <c r="AH398" s="57" t="s">
        <v>58</v>
      </c>
      <c r="AI398" s="9">
        <v>13.351993377069457</v>
      </c>
      <c r="AJ398" s="53" t="s">
        <v>56</v>
      </c>
      <c r="AK398" s="59" t="s">
        <v>194</v>
      </c>
      <c r="AL398" s="9">
        <v>12.968598843593806</v>
      </c>
      <c r="AM398" s="57" t="s">
        <v>95</v>
      </c>
      <c r="AN398" s="57" t="s">
        <v>58</v>
      </c>
      <c r="AO398" s="9">
        <v>12.645604915795811</v>
      </c>
      <c r="AP398" s="60"/>
      <c r="AQ398" s="57" t="s">
        <v>95</v>
      </c>
      <c r="AR398" s="9">
        <v>8.5451522554720007</v>
      </c>
      <c r="AS398" s="53" t="s">
        <v>56</v>
      </c>
      <c r="AT398" s="9">
        <v>2.8578600798350005</v>
      </c>
      <c r="AU398" s="59" t="s">
        <v>56</v>
      </c>
      <c r="AV398" s="9">
        <v>3</v>
      </c>
      <c r="AW398" s="57" t="s">
        <v>82</v>
      </c>
      <c r="AX398" s="9">
        <v>85.882962874060013</v>
      </c>
      <c r="AY398" s="242" t="s">
        <v>82</v>
      </c>
      <c r="AZ398" s="9">
        <v>1.5615084158920003</v>
      </c>
      <c r="BA398" s="59" t="s">
        <v>56</v>
      </c>
      <c r="BB398" s="242" t="s">
        <v>82</v>
      </c>
      <c r="BC398" s="9">
        <v>7.1522619485018115</v>
      </c>
      <c r="BD398" s="59" t="s">
        <v>56</v>
      </c>
      <c r="BE398" s="242" t="s">
        <v>58</v>
      </c>
      <c r="BF398" s="9">
        <v>6.8679989645565636</v>
      </c>
      <c r="BG398" s="59" t="s">
        <v>56</v>
      </c>
      <c r="BH398" s="53" t="s">
        <v>194</v>
      </c>
      <c r="BI398" s="9">
        <v>6.3623201976866683</v>
      </c>
      <c r="BJ398" s="57" t="s">
        <v>95</v>
      </c>
      <c r="BK398" s="242" t="s">
        <v>82</v>
      </c>
      <c r="BL398" s="9">
        <v>5.7618780777504099</v>
      </c>
      <c r="BM398" s="57" t="s">
        <v>95</v>
      </c>
      <c r="BN398" s="242" t="s">
        <v>58</v>
      </c>
      <c r="BO398" s="9">
        <v>5.5790946447412777</v>
      </c>
    </row>
    <row r="399" spans="1:67" x14ac:dyDescent="0.45">
      <c r="A399" s="10">
        <v>376</v>
      </c>
      <c r="B399" s="10" t="s">
        <v>298</v>
      </c>
      <c r="C399" s="59" t="s">
        <v>2177</v>
      </c>
      <c r="D399" s="65"/>
      <c r="E399" s="80" t="s">
        <v>2340</v>
      </c>
      <c r="F399" s="64" t="s">
        <v>2341</v>
      </c>
      <c r="G399" s="63" t="s">
        <v>2342</v>
      </c>
      <c r="H399" s="10"/>
      <c r="I399" s="62">
        <v>214.96160272</v>
      </c>
      <c r="J399" s="62">
        <v>192.04290243000003</v>
      </c>
      <c r="K399" s="62">
        <v>162.01150205000002</v>
      </c>
      <c r="L399" s="49">
        <v>3791.6910742905807</v>
      </c>
      <c r="M399" s="49">
        <v>3549.7954956596527</v>
      </c>
      <c r="N399" s="49">
        <v>3367.43827761583</v>
      </c>
      <c r="O399" s="61">
        <v>26.100704108301127</v>
      </c>
      <c r="P399" s="60"/>
      <c r="Q399" s="57" t="s">
        <v>95</v>
      </c>
      <c r="R399" s="9">
        <v>16.477235395840001</v>
      </c>
      <c r="S399" s="57" t="s">
        <v>95</v>
      </c>
      <c r="T399" s="9">
        <v>14.979304905309091</v>
      </c>
      <c r="U399" s="53" t="s">
        <v>51</v>
      </c>
      <c r="V399" s="9">
        <v>11.111000000000001</v>
      </c>
      <c r="W399" s="80" t="s">
        <v>79</v>
      </c>
      <c r="X399" s="9">
        <v>151.47312190400001</v>
      </c>
      <c r="Y399" s="59" t="s">
        <v>1541</v>
      </c>
      <c r="Z399" s="9">
        <v>49.991139089230764</v>
      </c>
      <c r="AA399" s="53" t="s">
        <v>51</v>
      </c>
      <c r="AB399" s="53" t="s">
        <v>1541</v>
      </c>
      <c r="AC399" s="9">
        <v>27.185435826253514</v>
      </c>
      <c r="AD399" s="242" t="s">
        <v>95</v>
      </c>
      <c r="AE399" s="59" t="s">
        <v>1541</v>
      </c>
      <c r="AF399" s="9">
        <v>26.217671433481474</v>
      </c>
      <c r="AG399" s="53" t="s">
        <v>51</v>
      </c>
      <c r="AH399" s="57" t="s">
        <v>82</v>
      </c>
      <c r="AI399" s="9">
        <v>24.673821671671231</v>
      </c>
      <c r="AJ399" s="57" t="s">
        <v>95</v>
      </c>
      <c r="AK399" s="242" t="s">
        <v>82</v>
      </c>
      <c r="AL399" s="9">
        <v>24.031981017831324</v>
      </c>
      <c r="AM399" s="53" t="s">
        <v>51</v>
      </c>
      <c r="AN399" s="71" t="s">
        <v>79</v>
      </c>
      <c r="AO399" s="9">
        <v>22.027967251809525</v>
      </c>
      <c r="AP399" s="60"/>
      <c r="AQ399" s="57" t="s">
        <v>95</v>
      </c>
      <c r="AR399" s="9">
        <v>14.413604009728001</v>
      </c>
      <c r="AS399" s="53" t="s">
        <v>51</v>
      </c>
      <c r="AT399" s="9">
        <v>5.5301015036479999</v>
      </c>
      <c r="AU399" s="59" t="s">
        <v>51</v>
      </c>
      <c r="AV399" s="9">
        <v>3.5</v>
      </c>
      <c r="AW399" s="53" t="s">
        <v>180</v>
      </c>
      <c r="AX399" s="9">
        <v>185.43705513376</v>
      </c>
      <c r="AY399" s="59" t="s">
        <v>1541</v>
      </c>
      <c r="AZ399" s="9">
        <v>3.3734010024320003</v>
      </c>
      <c r="BA399" s="59" t="s">
        <v>51</v>
      </c>
      <c r="BB399" s="59" t="s">
        <v>1541</v>
      </c>
      <c r="BC399" s="9">
        <v>16.202808422579437</v>
      </c>
      <c r="BD399" s="59" t="s">
        <v>51</v>
      </c>
      <c r="BE399" s="59" t="s">
        <v>180</v>
      </c>
      <c r="BF399" s="9">
        <v>14.722427601536936</v>
      </c>
      <c r="BG399" s="59" t="s">
        <v>51</v>
      </c>
      <c r="BH399" s="57" t="s">
        <v>82</v>
      </c>
      <c r="BI399" s="9">
        <v>14.28745710399453</v>
      </c>
      <c r="BJ399" s="53" t="s">
        <v>51</v>
      </c>
      <c r="BK399" s="80" t="s">
        <v>79</v>
      </c>
      <c r="BL399" s="9">
        <v>13.865719316244089</v>
      </c>
      <c r="BM399" s="57" t="s">
        <v>95</v>
      </c>
      <c r="BN399" s="59" t="s">
        <v>1541</v>
      </c>
      <c r="BO399" s="9">
        <v>11.10705449497436</v>
      </c>
    </row>
    <row r="400" spans="1:67" x14ac:dyDescent="0.45">
      <c r="A400" s="10">
        <v>377</v>
      </c>
      <c r="B400" s="10" t="s">
        <v>741</v>
      </c>
      <c r="C400" s="56" t="s">
        <v>2025</v>
      </c>
      <c r="D400" s="65"/>
      <c r="E400" s="58" t="s">
        <v>2289</v>
      </c>
      <c r="F400" s="64" t="s">
        <v>2290</v>
      </c>
      <c r="G400" s="242"/>
      <c r="H400" s="10"/>
      <c r="I400" s="62">
        <v>153.31820194000002</v>
      </c>
      <c r="J400" s="62">
        <v>256.05720324000004</v>
      </c>
      <c r="K400" s="62">
        <v>162.01150205000002</v>
      </c>
      <c r="L400" s="49">
        <v>3122.7350684600015</v>
      </c>
      <c r="M400" s="49">
        <v>3432.8200833889227</v>
      </c>
      <c r="N400" s="49">
        <v>3702.9151779305444</v>
      </c>
      <c r="O400" s="61">
        <v>33.027327099933025</v>
      </c>
      <c r="P400" s="60"/>
      <c r="Q400" s="55" t="s">
        <v>53</v>
      </c>
      <c r="R400" s="9">
        <v>12.498865145500002</v>
      </c>
      <c r="S400" s="52" t="s">
        <v>41</v>
      </c>
      <c r="T400" s="9">
        <v>13.376567266311113</v>
      </c>
      <c r="U400" s="15" t="s">
        <v>1553</v>
      </c>
      <c r="V400" s="9">
        <v>20</v>
      </c>
      <c r="W400" s="58" t="s">
        <v>2430</v>
      </c>
      <c r="X400" s="9">
        <v>108.32274135800002</v>
      </c>
      <c r="Y400" s="56" t="s">
        <v>87</v>
      </c>
      <c r="Z400" s="9">
        <v>40.430835288695661</v>
      </c>
      <c r="AA400" s="52" t="s">
        <v>41</v>
      </c>
      <c r="AB400" s="52" t="s">
        <v>87</v>
      </c>
      <c r="AC400" s="9">
        <v>17.314846788556963</v>
      </c>
      <c r="AD400" s="56" t="s">
        <v>41</v>
      </c>
      <c r="AE400" s="58" t="s">
        <v>187</v>
      </c>
      <c r="AF400" s="9">
        <v>16.994494085482355</v>
      </c>
      <c r="AG400" s="52" t="s">
        <v>41</v>
      </c>
      <c r="AH400" s="51" t="s">
        <v>1483</v>
      </c>
      <c r="AI400" s="9">
        <v>16.796883689139538</v>
      </c>
      <c r="AJ400" s="15" t="s">
        <v>1553</v>
      </c>
      <c r="AK400" s="56" t="s">
        <v>87</v>
      </c>
      <c r="AL400" s="9">
        <v>16.624725449851354</v>
      </c>
      <c r="AM400" s="15" t="s">
        <v>1553</v>
      </c>
      <c r="AN400" s="55" t="s">
        <v>187</v>
      </c>
      <c r="AO400" s="9">
        <v>16.087766107313954</v>
      </c>
      <c r="AP400" s="60"/>
      <c r="AQ400" s="52" t="s">
        <v>41</v>
      </c>
      <c r="AR400" s="9">
        <v>10.567055801056002</v>
      </c>
      <c r="AS400" s="52" t="s">
        <v>41</v>
      </c>
      <c r="AT400" s="9">
        <v>5.2835279005280009</v>
      </c>
      <c r="AU400" s="64" t="s">
        <v>1553</v>
      </c>
      <c r="AV400" s="9">
        <v>5</v>
      </c>
      <c r="AW400" s="55" t="s">
        <v>2504</v>
      </c>
      <c r="AX400" s="9">
        <v>150.48524689150003</v>
      </c>
      <c r="AY400" s="56" t="s">
        <v>87</v>
      </c>
      <c r="AZ400" s="9">
        <v>2.1925126820581822</v>
      </c>
      <c r="BA400" s="64" t="s">
        <v>1553</v>
      </c>
      <c r="BB400" s="56" t="s">
        <v>87</v>
      </c>
      <c r="BC400" s="9">
        <v>11.879204079325836</v>
      </c>
      <c r="BD400" s="64" t="s">
        <v>1553</v>
      </c>
      <c r="BE400" s="58" t="s">
        <v>187</v>
      </c>
      <c r="BF400" s="9">
        <v>11.277110723790626</v>
      </c>
      <c r="BG400" s="64" t="s">
        <v>1553</v>
      </c>
      <c r="BH400" s="51" t="s">
        <v>1483</v>
      </c>
      <c r="BI400" s="9">
        <v>10.731196464309413</v>
      </c>
      <c r="BJ400" s="52" t="s">
        <v>41</v>
      </c>
      <c r="BK400" s="56" t="s">
        <v>87</v>
      </c>
      <c r="BL400" s="9">
        <v>10.296774405426785</v>
      </c>
      <c r="BM400" s="52" t="s">
        <v>41</v>
      </c>
      <c r="BN400" s="58" t="s">
        <v>187</v>
      </c>
      <c r="BO400" s="9">
        <v>9.9674543195916154</v>
      </c>
    </row>
    <row r="401" spans="1:67" x14ac:dyDescent="0.45">
      <c r="A401" s="10">
        <v>378</v>
      </c>
      <c r="B401" s="10" t="s">
        <v>738</v>
      </c>
      <c r="C401" s="291" t="s">
        <v>1919</v>
      </c>
      <c r="D401" s="65"/>
      <c r="E401" s="58" t="s">
        <v>2223</v>
      </c>
      <c r="F401" s="291" t="s">
        <v>1919</v>
      </c>
      <c r="G401" s="242"/>
      <c r="H401" s="10"/>
      <c r="I401" s="62">
        <v>153.31820194000002</v>
      </c>
      <c r="J401" s="62">
        <v>256.05720324000004</v>
      </c>
      <c r="K401" s="62">
        <v>162.01150205000002</v>
      </c>
      <c r="L401" s="49">
        <v>3122.7350684600015</v>
      </c>
      <c r="M401" s="49">
        <v>3432.8200833889227</v>
      </c>
      <c r="N401" s="49">
        <v>3702.9151779305444</v>
      </c>
      <c r="O401" s="61">
        <v>33.027327099933025</v>
      </c>
      <c r="P401" s="60"/>
      <c r="Q401" s="55" t="s">
        <v>53</v>
      </c>
      <c r="R401" s="9">
        <v>12.498865145500002</v>
      </c>
      <c r="S401" s="74" t="s">
        <v>109</v>
      </c>
      <c r="T401" s="9">
        <v>11.332324573777779</v>
      </c>
      <c r="U401" s="15" t="s">
        <v>1553</v>
      </c>
      <c r="V401" s="9">
        <v>20</v>
      </c>
      <c r="W401" s="291" t="s">
        <v>132</v>
      </c>
      <c r="X401" s="9">
        <v>120.58819751320002</v>
      </c>
      <c r="Y401" s="291" t="s">
        <v>132</v>
      </c>
      <c r="Z401" s="9">
        <v>38.899418552645166</v>
      </c>
      <c r="AA401" s="15" t="s">
        <v>1553</v>
      </c>
      <c r="AB401" s="74" t="s">
        <v>132</v>
      </c>
      <c r="AC401" s="9">
        <v>18.368322521719517</v>
      </c>
      <c r="AD401" s="291" t="s">
        <v>109</v>
      </c>
      <c r="AE401" s="291" t="s">
        <v>132</v>
      </c>
      <c r="AF401" s="9">
        <v>17.106513177459462</v>
      </c>
      <c r="AG401" s="15" t="s">
        <v>1553</v>
      </c>
      <c r="AH401" s="55" t="s">
        <v>187</v>
      </c>
      <c r="AI401" s="9">
        <v>16.087766107313954</v>
      </c>
      <c r="AJ401" s="15" t="s">
        <v>1553</v>
      </c>
      <c r="AK401" s="80" t="s">
        <v>79</v>
      </c>
      <c r="AL401" s="9">
        <v>15.90284925550575</v>
      </c>
      <c r="AM401" s="74" t="s">
        <v>109</v>
      </c>
      <c r="AN401" s="55" t="s">
        <v>187</v>
      </c>
      <c r="AO401" s="9">
        <v>15.849403873105263</v>
      </c>
      <c r="AP401" s="60"/>
      <c r="AQ401" s="55" t="s">
        <v>53</v>
      </c>
      <c r="AR401" s="9">
        <v>9.9691148134900018</v>
      </c>
      <c r="AS401" s="74" t="s">
        <v>109</v>
      </c>
      <c r="AT401" s="9">
        <v>4.6855869129620009</v>
      </c>
      <c r="AU401" s="64" t="s">
        <v>1553</v>
      </c>
      <c r="AV401" s="9">
        <v>5</v>
      </c>
      <c r="AW401" s="74" t="s">
        <v>132</v>
      </c>
      <c r="AX401" s="9">
        <v>156.46465676716002</v>
      </c>
      <c r="AY401" s="291" t="s">
        <v>132</v>
      </c>
      <c r="AZ401" s="9">
        <v>2.0861954235621338</v>
      </c>
      <c r="BA401" s="64" t="s">
        <v>1553</v>
      </c>
      <c r="BB401" s="291" t="s">
        <v>132</v>
      </c>
      <c r="BC401" s="9">
        <v>11.650823841019376</v>
      </c>
      <c r="BD401" s="64" t="s">
        <v>1553</v>
      </c>
      <c r="BE401" s="58" t="s">
        <v>187</v>
      </c>
      <c r="BF401" s="9">
        <v>11.277110723790626</v>
      </c>
      <c r="BG401" s="64" t="s">
        <v>1553</v>
      </c>
      <c r="BH401" s="71" t="s">
        <v>79</v>
      </c>
      <c r="BI401" s="9">
        <v>10.467398969795001</v>
      </c>
      <c r="BJ401" s="74" t="s">
        <v>109</v>
      </c>
      <c r="BK401" s="291" t="s">
        <v>132</v>
      </c>
      <c r="BL401" s="9">
        <v>9.5816859405167758</v>
      </c>
      <c r="BM401" s="74" t="s">
        <v>109</v>
      </c>
      <c r="BN401" s="58" t="s">
        <v>187</v>
      </c>
      <c r="BO401" s="9">
        <v>9.3888017509793578</v>
      </c>
    </row>
    <row r="402" spans="1:67" x14ac:dyDescent="0.45">
      <c r="A402" s="10">
        <v>379</v>
      </c>
      <c r="B402" s="10" t="s">
        <v>735</v>
      </c>
      <c r="C402" s="59" t="s">
        <v>1886</v>
      </c>
      <c r="D402" s="65"/>
      <c r="E402" s="58" t="s">
        <v>2343</v>
      </c>
      <c r="F402" s="64" t="s">
        <v>2344</v>
      </c>
      <c r="G402" s="63" t="s">
        <v>1971</v>
      </c>
      <c r="H402" s="10"/>
      <c r="I402" s="62">
        <v>124.86740158000001</v>
      </c>
      <c r="J402" s="62">
        <v>237.09000300000002</v>
      </c>
      <c r="K402" s="62">
        <v>162.01150205000002</v>
      </c>
      <c r="L402" s="49">
        <v>2447.2515920666328</v>
      </c>
      <c r="M402" s="49">
        <v>2844.0601466712965</v>
      </c>
      <c r="N402" s="49">
        <v>3207.3540445164831</v>
      </c>
      <c r="O402" s="61">
        <v>31.049727516930727</v>
      </c>
      <c r="P402" s="60"/>
      <c r="Q402" s="55" t="s">
        <v>53</v>
      </c>
      <c r="R402" s="9">
        <v>10.365055118500001</v>
      </c>
      <c r="S402" s="53" t="s">
        <v>56</v>
      </c>
      <c r="T402" s="9">
        <v>9.9909075369142855</v>
      </c>
      <c r="U402" s="15" t="s">
        <v>1553</v>
      </c>
      <c r="V402" s="9">
        <v>20</v>
      </c>
      <c r="W402" s="64" t="s">
        <v>112</v>
      </c>
      <c r="X402" s="9">
        <v>94.650551185000012</v>
      </c>
      <c r="Y402" s="59" t="s">
        <v>180</v>
      </c>
      <c r="Z402" s="9">
        <v>28.118681832592593</v>
      </c>
      <c r="AA402" s="53" t="s">
        <v>56</v>
      </c>
      <c r="AB402" s="15" t="s">
        <v>112</v>
      </c>
      <c r="AC402" s="9">
        <v>13.954900721860142</v>
      </c>
      <c r="AD402" s="59" t="s">
        <v>56</v>
      </c>
      <c r="AE402" s="58" t="s">
        <v>187</v>
      </c>
      <c r="AF402" s="9">
        <v>13.807979303114285</v>
      </c>
      <c r="AG402" s="15" t="s">
        <v>1553</v>
      </c>
      <c r="AH402" s="15" t="s">
        <v>112</v>
      </c>
      <c r="AI402" s="9">
        <v>13.737559586438204</v>
      </c>
      <c r="AJ402" s="53" t="s">
        <v>56</v>
      </c>
      <c r="AK402" s="59" t="s">
        <v>180</v>
      </c>
      <c r="AL402" s="9">
        <v>13.698861370121213</v>
      </c>
      <c r="AM402" s="15" t="s">
        <v>1553</v>
      </c>
      <c r="AN402" s="55" t="s">
        <v>187</v>
      </c>
      <c r="AO402" s="9">
        <v>13.490803516313955</v>
      </c>
      <c r="AP402" s="60"/>
      <c r="AQ402" s="55" t="s">
        <v>53</v>
      </c>
      <c r="AR402" s="9">
        <v>8.3047429924300005</v>
      </c>
      <c r="AS402" s="53" t="s">
        <v>56</v>
      </c>
      <c r="AT402" s="9">
        <v>2.9349143308100003</v>
      </c>
      <c r="AU402" s="64" t="s">
        <v>1553</v>
      </c>
      <c r="AV402" s="9">
        <v>5</v>
      </c>
      <c r="AW402" s="55" t="s">
        <v>2505</v>
      </c>
      <c r="AX402" s="9">
        <v>122.74571654050001</v>
      </c>
      <c r="AY402" s="59" t="s">
        <v>180</v>
      </c>
      <c r="AZ402" s="9">
        <v>1.6636343162406155</v>
      </c>
      <c r="BA402" s="64" t="s">
        <v>1553</v>
      </c>
      <c r="BB402" s="59" t="s">
        <v>180</v>
      </c>
      <c r="BC402" s="9">
        <v>9.4062518563678577</v>
      </c>
      <c r="BD402" s="64" t="s">
        <v>1553</v>
      </c>
      <c r="BE402" s="58" t="s">
        <v>187</v>
      </c>
      <c r="BF402" s="9">
        <v>9.3700180121593757</v>
      </c>
      <c r="BG402" s="64" t="s">
        <v>1553</v>
      </c>
      <c r="BH402" s="15" t="s">
        <v>112</v>
      </c>
      <c r="BI402" s="9">
        <v>8.9254074296952943</v>
      </c>
      <c r="BJ402" s="53" t="s">
        <v>56</v>
      </c>
      <c r="BK402" s="59" t="s">
        <v>180</v>
      </c>
      <c r="BL402" s="9">
        <v>7.5761488701407353</v>
      </c>
      <c r="BM402" s="53" t="s">
        <v>56</v>
      </c>
      <c r="BN402" s="58" t="s">
        <v>187</v>
      </c>
      <c r="BO402" s="9">
        <v>7.5430221081057702</v>
      </c>
    </row>
    <row r="403" spans="1:67" x14ac:dyDescent="0.45">
      <c r="A403" s="10">
        <v>380</v>
      </c>
      <c r="B403" s="10" t="s">
        <v>176</v>
      </c>
      <c r="C403" s="242" t="s">
        <v>2178</v>
      </c>
      <c r="D403" s="65"/>
      <c r="E403" s="289" t="s">
        <v>2345</v>
      </c>
      <c r="F403" s="58" t="s">
        <v>2346</v>
      </c>
      <c r="G403" s="242"/>
      <c r="H403" s="10"/>
      <c r="I403" s="62">
        <v>192.04290243000003</v>
      </c>
      <c r="J403" s="62">
        <v>206.26830261000001</v>
      </c>
      <c r="K403" s="62">
        <v>162.01150205000002</v>
      </c>
      <c r="L403" s="49">
        <v>3510.6491814606184</v>
      </c>
      <c r="M403" s="49">
        <v>3453.4332770990886</v>
      </c>
      <c r="N403" s="49">
        <v>3408.3326824528181</v>
      </c>
      <c r="O403" s="61">
        <v>27.703486412470539</v>
      </c>
      <c r="P403" s="60"/>
      <c r="Q403" s="14" t="s">
        <v>161</v>
      </c>
      <c r="R403" s="9">
        <v>20.204290243000003</v>
      </c>
      <c r="S403" s="66" t="s">
        <v>254</v>
      </c>
      <c r="T403" s="9">
        <v>15.827088974960001</v>
      </c>
      <c r="U403" s="57" t="s">
        <v>95</v>
      </c>
      <c r="V403" s="9">
        <v>9.0909999999999993</v>
      </c>
      <c r="W403" s="78" t="s">
        <v>175</v>
      </c>
      <c r="X403" s="9">
        <v>127.74831560380001</v>
      </c>
      <c r="Y403" s="290" t="s">
        <v>222</v>
      </c>
      <c r="Z403" s="9">
        <v>40.425604672916677</v>
      </c>
      <c r="AA403" s="66" t="s">
        <v>254</v>
      </c>
      <c r="AB403" s="57" t="s">
        <v>82</v>
      </c>
      <c r="AC403" s="9">
        <v>22.499720818309392</v>
      </c>
      <c r="AD403" s="78" t="s">
        <v>254</v>
      </c>
      <c r="AE403" s="78" t="s">
        <v>175</v>
      </c>
      <c r="AF403" s="9">
        <v>22.331785388896552</v>
      </c>
      <c r="AG403" s="57" t="s">
        <v>95</v>
      </c>
      <c r="AH403" s="57" t="s">
        <v>82</v>
      </c>
      <c r="AI403" s="9">
        <v>21.546820745421687</v>
      </c>
      <c r="AJ403" s="57" t="s">
        <v>95</v>
      </c>
      <c r="AK403" s="78" t="s">
        <v>175</v>
      </c>
      <c r="AL403" s="9">
        <v>21.476995795595744</v>
      </c>
      <c r="AM403" s="14" t="s">
        <v>161</v>
      </c>
      <c r="AN403" s="66" t="s">
        <v>175</v>
      </c>
      <c r="AO403" s="9">
        <v>20.487243289158609</v>
      </c>
      <c r="AP403" s="60"/>
      <c r="AQ403" s="14" t="s">
        <v>161</v>
      </c>
      <c r="AR403" s="9">
        <v>20.972461852720002</v>
      </c>
      <c r="AS403" s="66" t="s">
        <v>254</v>
      </c>
      <c r="AT403" s="9">
        <v>6.991738555816001</v>
      </c>
      <c r="AU403" s="78" t="s">
        <v>254</v>
      </c>
      <c r="AV403" s="9">
        <v>3</v>
      </c>
      <c r="AW403" s="66" t="s">
        <v>175</v>
      </c>
      <c r="AX403" s="9">
        <v>165.77281028494002</v>
      </c>
      <c r="AY403" s="78" t="s">
        <v>175</v>
      </c>
      <c r="AZ403" s="9">
        <v>2.762880171415667</v>
      </c>
      <c r="BA403" s="78" t="s">
        <v>254</v>
      </c>
      <c r="BB403" s="78" t="s">
        <v>175</v>
      </c>
      <c r="BC403" s="9">
        <v>14.552741971488574</v>
      </c>
      <c r="BD403" s="78" t="s">
        <v>254</v>
      </c>
      <c r="BE403" s="242" t="s">
        <v>82</v>
      </c>
      <c r="BF403" s="9">
        <v>13.65496505323207</v>
      </c>
      <c r="BG403" s="78" t="s">
        <v>254</v>
      </c>
      <c r="BH403" s="51" t="s">
        <v>222</v>
      </c>
      <c r="BI403" s="9">
        <v>12.650602747420001</v>
      </c>
      <c r="BJ403" s="14" t="s">
        <v>161</v>
      </c>
      <c r="BK403" s="78" t="s">
        <v>175</v>
      </c>
      <c r="BL403" s="9">
        <v>12.112820284262581</v>
      </c>
      <c r="BM403" s="14" t="s">
        <v>161</v>
      </c>
      <c r="BN403" s="242" t="s">
        <v>82</v>
      </c>
      <c r="BO403" s="9">
        <v>11.510936297864095</v>
      </c>
    </row>
    <row r="404" spans="1:67" x14ac:dyDescent="0.45">
      <c r="A404" s="10">
        <v>381</v>
      </c>
      <c r="B404" s="10" t="s">
        <v>305</v>
      </c>
      <c r="C404" s="242" t="s">
        <v>2178</v>
      </c>
      <c r="D404" s="65"/>
      <c r="E404" s="289" t="s">
        <v>2345</v>
      </c>
      <c r="F404" s="58" t="s">
        <v>2346</v>
      </c>
      <c r="G404" s="242"/>
      <c r="H404" s="10"/>
      <c r="I404" s="62">
        <v>223.65490283000003</v>
      </c>
      <c r="J404" s="62">
        <v>179.39810227000001</v>
      </c>
      <c r="K404" s="62">
        <v>162.01150205000002</v>
      </c>
      <c r="L404" s="49">
        <v>3812.9426180836977</v>
      </c>
      <c r="M404" s="49">
        <v>3483.0636486208182</v>
      </c>
      <c r="N404" s="49">
        <v>3239.8307543929159</v>
      </c>
      <c r="O404" s="61">
        <v>24.64354992410227</v>
      </c>
      <c r="P404" s="60"/>
      <c r="Q404" s="57" t="s">
        <v>95</v>
      </c>
      <c r="R404" s="9">
        <v>17.103153003760003</v>
      </c>
      <c r="S404" s="66" t="s">
        <v>254</v>
      </c>
      <c r="T404" s="9">
        <v>18.103153003760003</v>
      </c>
      <c r="U404" s="57" t="s">
        <v>95</v>
      </c>
      <c r="V404" s="9">
        <v>9.0909999999999993</v>
      </c>
      <c r="W404" s="79" t="s">
        <v>9</v>
      </c>
      <c r="X404" s="9">
        <v>202.28941254700001</v>
      </c>
      <c r="Y404" s="242" t="s">
        <v>82</v>
      </c>
      <c r="Z404" s="9">
        <v>43.49058840292858</v>
      </c>
      <c r="AA404" s="66" t="s">
        <v>254</v>
      </c>
      <c r="AB404" s="57" t="s">
        <v>82</v>
      </c>
      <c r="AC404" s="9">
        <v>25.957829149359117</v>
      </c>
      <c r="AD404" s="242" t="s">
        <v>95</v>
      </c>
      <c r="AE404" s="242" t="s">
        <v>82</v>
      </c>
      <c r="AF404" s="9">
        <v>24.974628017710845</v>
      </c>
      <c r="AG404" s="66" t="s">
        <v>254</v>
      </c>
      <c r="AH404" s="72" t="s">
        <v>9</v>
      </c>
      <c r="AI404" s="9">
        <v>24.63096695942529</v>
      </c>
      <c r="AJ404" s="66" t="s">
        <v>254</v>
      </c>
      <c r="AK404" s="78" t="s">
        <v>262</v>
      </c>
      <c r="AL404" s="9">
        <v>24.464705971249998</v>
      </c>
      <c r="AM404" s="57" t="s">
        <v>95</v>
      </c>
      <c r="AN404" s="72" t="s">
        <v>9</v>
      </c>
      <c r="AO404" s="9">
        <v>23.479304565069182</v>
      </c>
      <c r="AP404" s="60"/>
      <c r="AQ404" s="57" t="s">
        <v>95</v>
      </c>
      <c r="AR404" s="9">
        <v>14.956065936592003</v>
      </c>
      <c r="AS404" s="66" t="s">
        <v>254</v>
      </c>
      <c r="AT404" s="9">
        <v>7.9780329682960014</v>
      </c>
      <c r="AU404" s="78" t="s">
        <v>254</v>
      </c>
      <c r="AV404" s="9">
        <v>3</v>
      </c>
      <c r="AW404" s="72" t="s">
        <v>9</v>
      </c>
      <c r="AX404" s="9">
        <v>219.06353025925003</v>
      </c>
      <c r="AY404" s="242" t="s">
        <v>82</v>
      </c>
      <c r="AZ404" s="9">
        <v>2.8728316688483639</v>
      </c>
      <c r="BA404" s="78" t="s">
        <v>254</v>
      </c>
      <c r="BB404" s="242" t="s">
        <v>82</v>
      </c>
      <c r="BC404" s="9">
        <v>15.738086872694142</v>
      </c>
      <c r="BD404" s="78" t="s">
        <v>254</v>
      </c>
      <c r="BE404" s="79" t="s">
        <v>9</v>
      </c>
      <c r="BF404" s="9">
        <v>15.607629255920846</v>
      </c>
      <c r="BG404" s="78" t="s">
        <v>254</v>
      </c>
      <c r="BH404" s="66" t="s">
        <v>262</v>
      </c>
      <c r="BI404" s="9">
        <v>14.313352373722633</v>
      </c>
      <c r="BJ404" s="57" t="s">
        <v>95</v>
      </c>
      <c r="BK404" s="242" t="s">
        <v>82</v>
      </c>
      <c r="BL404" s="9">
        <v>10.35449167972234</v>
      </c>
      <c r="BM404" s="57" t="s">
        <v>95</v>
      </c>
      <c r="BN404" s="79" t="s">
        <v>9</v>
      </c>
      <c r="BO404" s="9">
        <v>10.206774213344961</v>
      </c>
    </row>
    <row r="405" spans="1:67" x14ac:dyDescent="0.45">
      <c r="A405" s="10">
        <v>382</v>
      </c>
      <c r="B405" s="10" t="s">
        <v>234</v>
      </c>
      <c r="C405" s="288" t="s">
        <v>1993</v>
      </c>
      <c r="D405" s="65"/>
      <c r="E405" s="290" t="s">
        <v>2201</v>
      </c>
      <c r="F405" s="59" t="s">
        <v>2202</v>
      </c>
      <c r="G405" s="242"/>
      <c r="H405" s="10"/>
      <c r="I405" s="62">
        <v>225.23550285000002</v>
      </c>
      <c r="J405" s="62">
        <v>192.04290243000003</v>
      </c>
      <c r="K405" s="62">
        <v>173.86600220000003</v>
      </c>
      <c r="L405" s="49">
        <v>4115.6962213169063</v>
      </c>
      <c r="M405" s="49">
        <v>3838.5439529068558</v>
      </c>
      <c r="N405" s="49">
        <v>3630.3214557174592</v>
      </c>
      <c r="O405" s="61">
        <v>28.010511725981697</v>
      </c>
      <c r="P405" s="60"/>
      <c r="Q405" s="73" t="s">
        <v>206</v>
      </c>
      <c r="R405" s="9">
        <v>22.622608273600001</v>
      </c>
      <c r="S405" s="73" t="s">
        <v>206</v>
      </c>
      <c r="T405" s="9">
        <v>18.852173561333334</v>
      </c>
      <c r="U405" s="73" t="s">
        <v>206</v>
      </c>
      <c r="V405" s="9">
        <v>6.67</v>
      </c>
      <c r="W405" s="288" t="s">
        <v>197</v>
      </c>
      <c r="X405" s="9">
        <v>176.68369222300001</v>
      </c>
      <c r="Y405" s="288" t="s">
        <v>197</v>
      </c>
      <c r="Z405" s="9">
        <v>53.540512794848489</v>
      </c>
      <c r="AA405" s="73" t="s">
        <v>206</v>
      </c>
      <c r="AB405" s="73" t="s">
        <v>218</v>
      </c>
      <c r="AC405" s="9">
        <v>25.025342154510874</v>
      </c>
      <c r="AD405" s="288" t="s">
        <v>206</v>
      </c>
      <c r="AE405" s="288" t="s">
        <v>197</v>
      </c>
      <c r="AF405" s="9">
        <v>24.908867713216935</v>
      </c>
      <c r="AG405" s="73" t="s">
        <v>206</v>
      </c>
      <c r="AH405" s="74" t="s">
        <v>132</v>
      </c>
      <c r="AI405" s="9">
        <v>23.609464406914441</v>
      </c>
      <c r="AJ405" s="73" t="s">
        <v>206</v>
      </c>
      <c r="AK405" s="290" t="s">
        <v>222</v>
      </c>
      <c r="AL405" s="9">
        <v>22.650647721211115</v>
      </c>
      <c r="AM405" s="57"/>
      <c r="AN405" s="72"/>
      <c r="AO405" s="9"/>
      <c r="AP405" s="60"/>
      <c r="AQ405" s="73" t="s">
        <v>206</v>
      </c>
      <c r="AR405" s="9">
        <v>22.082043066760001</v>
      </c>
      <c r="AS405" s="73" t="s">
        <v>206</v>
      </c>
      <c r="AT405" s="9">
        <v>7.3606810222533339</v>
      </c>
      <c r="AU405" s="288" t="s">
        <v>206</v>
      </c>
      <c r="AV405" s="9">
        <v>2.6666666666666998</v>
      </c>
      <c r="AW405" s="73" t="s">
        <v>197</v>
      </c>
      <c r="AX405" s="9">
        <v>229.38879988990001</v>
      </c>
      <c r="AY405" s="288" t="s">
        <v>197</v>
      </c>
      <c r="AZ405" s="9">
        <v>3.0585173318653336</v>
      </c>
      <c r="BA405" s="288" t="s">
        <v>206</v>
      </c>
      <c r="BB405" s="288" t="s">
        <v>197</v>
      </c>
      <c r="BC405" s="9">
        <v>14.983964073503005</v>
      </c>
      <c r="BD405" s="288" t="s">
        <v>206</v>
      </c>
      <c r="BE405" s="288" t="s">
        <v>218</v>
      </c>
      <c r="BF405" s="9">
        <v>14.100288454921875</v>
      </c>
      <c r="BG405" s="288" t="s">
        <v>206</v>
      </c>
      <c r="BH405" s="74" t="s">
        <v>132</v>
      </c>
      <c r="BI405" s="9">
        <v>13.677018151386267</v>
      </c>
      <c r="BJ405" s="73" t="s">
        <v>206</v>
      </c>
      <c r="BK405" s="290" t="s">
        <v>222</v>
      </c>
      <c r="BL405" s="9">
        <v>13.31993190864681</v>
      </c>
      <c r="BM405" s="57"/>
      <c r="BN405" s="78"/>
      <c r="BO405" s="9"/>
    </row>
    <row r="406" spans="1:67" x14ac:dyDescent="0.45">
      <c r="A406" s="10">
        <v>383</v>
      </c>
      <c r="B406" s="10" t="s">
        <v>231</v>
      </c>
      <c r="C406" s="80" t="s">
        <v>1892</v>
      </c>
      <c r="D406" s="65"/>
      <c r="E406" s="288" t="s">
        <v>2214</v>
      </c>
      <c r="F406" s="63" t="s">
        <v>2215</v>
      </c>
      <c r="G406" s="290" t="s">
        <v>1992</v>
      </c>
      <c r="H406" s="10"/>
      <c r="I406" s="62">
        <v>225.23550285000002</v>
      </c>
      <c r="J406" s="62">
        <v>192.04290243000003</v>
      </c>
      <c r="K406" s="62">
        <v>173.86600220000003</v>
      </c>
      <c r="L406" s="49">
        <v>4115.6962213169063</v>
      </c>
      <c r="M406" s="49">
        <v>3838.5439529068558</v>
      </c>
      <c r="N406" s="49">
        <v>3630.3214557174592</v>
      </c>
      <c r="O406" s="61">
        <v>28.010511725981697</v>
      </c>
      <c r="P406" s="60"/>
      <c r="Q406" s="66" t="s">
        <v>88</v>
      </c>
      <c r="R406" s="9">
        <v>17.892662713750003</v>
      </c>
      <c r="S406" s="66" t="s">
        <v>88</v>
      </c>
      <c r="T406" s="9">
        <v>16.266057012500003</v>
      </c>
      <c r="U406" s="71" t="s">
        <v>144</v>
      </c>
      <c r="V406" s="9">
        <v>11.667</v>
      </c>
      <c r="W406" s="79" t="s">
        <v>9</v>
      </c>
      <c r="X406" s="9">
        <v>203.71195256500002</v>
      </c>
      <c r="Y406" s="80" t="s">
        <v>79</v>
      </c>
      <c r="Z406" s="9">
        <v>52.832728442777778</v>
      </c>
      <c r="AA406" s="71" t="s">
        <v>144</v>
      </c>
      <c r="AB406" s="71" t="s">
        <v>79</v>
      </c>
      <c r="AC406" s="9">
        <v>24.329666561626986</v>
      </c>
      <c r="AD406" s="78" t="s">
        <v>88</v>
      </c>
      <c r="AE406" s="80" t="s">
        <v>79</v>
      </c>
      <c r="AF406" s="9">
        <v>24.101772318988097</v>
      </c>
      <c r="AG406" s="66" t="s">
        <v>88</v>
      </c>
      <c r="AH406" s="72" t="s">
        <v>9</v>
      </c>
      <c r="AI406" s="9">
        <v>23.117342824861879</v>
      </c>
      <c r="AJ406" s="71" t="s">
        <v>144</v>
      </c>
      <c r="AK406" s="79" t="s">
        <v>9</v>
      </c>
      <c r="AL406" s="9">
        <v>23.026469701258993</v>
      </c>
      <c r="AM406" s="66" t="s">
        <v>88</v>
      </c>
      <c r="AN406" s="70" t="s">
        <v>19</v>
      </c>
      <c r="AO406" s="9">
        <v>21.45843704367816</v>
      </c>
      <c r="AP406" s="60"/>
      <c r="AQ406" s="66" t="s">
        <v>88</v>
      </c>
      <c r="AR406" s="9">
        <v>14.176276916725001</v>
      </c>
      <c r="AS406" s="66" t="s">
        <v>88</v>
      </c>
      <c r="AT406" s="9">
        <v>4.7254256389083338</v>
      </c>
      <c r="AU406" s="80" t="s">
        <v>144</v>
      </c>
      <c r="AV406" s="9">
        <v>4.5</v>
      </c>
      <c r="AW406" s="72" t="s">
        <v>9</v>
      </c>
      <c r="AX406" s="9">
        <v>220.60461527875003</v>
      </c>
      <c r="AY406" s="80" t="s">
        <v>79</v>
      </c>
      <c r="AZ406" s="9">
        <v>3.2587758564246156</v>
      </c>
      <c r="BA406" s="80" t="s">
        <v>144</v>
      </c>
      <c r="BB406" s="80" t="s">
        <v>79</v>
      </c>
      <c r="BC406" s="9">
        <v>16.647245149951438</v>
      </c>
      <c r="BD406" s="78" t="s">
        <v>88</v>
      </c>
      <c r="BE406" s="80" t="s">
        <v>79</v>
      </c>
      <c r="BF406" s="9">
        <v>14.827621006161587</v>
      </c>
      <c r="BG406" s="80" t="s">
        <v>144</v>
      </c>
      <c r="BH406" s="72" t="s">
        <v>9</v>
      </c>
      <c r="BI406" s="9">
        <v>14.716463898484912</v>
      </c>
      <c r="BJ406" s="71" t="s">
        <v>144</v>
      </c>
      <c r="BK406" s="75" t="s">
        <v>19</v>
      </c>
      <c r="BL406" s="9">
        <v>13.93680254246568</v>
      </c>
      <c r="BM406" s="66" t="s">
        <v>88</v>
      </c>
      <c r="BN406" s="79" t="s">
        <v>9</v>
      </c>
      <c r="BO406" s="9">
        <v>13.360593224502002</v>
      </c>
    </row>
    <row r="407" spans="1:67" x14ac:dyDescent="0.45">
      <c r="A407" s="10">
        <v>384</v>
      </c>
      <c r="B407" s="10" t="s">
        <v>727</v>
      </c>
      <c r="C407" s="287" t="s">
        <v>2140</v>
      </c>
      <c r="D407" s="291" t="s">
        <v>1919</v>
      </c>
      <c r="E407" s="56" t="s">
        <v>2280</v>
      </c>
      <c r="F407" s="58" t="s">
        <v>2281</v>
      </c>
      <c r="G407" s="80" t="s">
        <v>2179</v>
      </c>
      <c r="H407" s="10"/>
      <c r="I407" s="62">
        <v>236.29970299000001</v>
      </c>
      <c r="J407" s="62">
        <v>146.20550185000002</v>
      </c>
      <c r="K407" s="62">
        <v>180.18840228000002</v>
      </c>
      <c r="L407" s="49">
        <v>3835.3804561479092</v>
      </c>
      <c r="M407" s="49">
        <v>3384.0425675808474</v>
      </c>
      <c r="N407" s="49">
        <v>3061.5242974917523</v>
      </c>
      <c r="O407" s="61">
        <v>22.984129582676449</v>
      </c>
      <c r="P407" s="60"/>
      <c r="Q407" s="66" t="s">
        <v>88</v>
      </c>
      <c r="R407" s="9">
        <v>22.266973269099999</v>
      </c>
      <c r="S407" s="66" t="s">
        <v>88</v>
      </c>
      <c r="T407" s="9">
        <v>20.24270297190909</v>
      </c>
      <c r="U407" s="16" t="s">
        <v>158</v>
      </c>
      <c r="V407" s="9">
        <v>8.33</v>
      </c>
      <c r="W407" s="78" t="s">
        <v>175</v>
      </c>
      <c r="X407" s="9">
        <v>156.95780397339999</v>
      </c>
      <c r="Y407" s="78" t="s">
        <v>175</v>
      </c>
      <c r="Z407" s="9">
        <v>40.245590762410252</v>
      </c>
      <c r="AA407" s="66" t="s">
        <v>88</v>
      </c>
      <c r="AB407" s="66" t="s">
        <v>175</v>
      </c>
      <c r="AC407" s="9">
        <v>28.035170912492781</v>
      </c>
      <c r="AD407" s="287" t="s">
        <v>158</v>
      </c>
      <c r="AE407" s="78" t="s">
        <v>175</v>
      </c>
      <c r="AF407" s="9">
        <v>26.38421002315151</v>
      </c>
      <c r="AG407" s="66" t="s">
        <v>88</v>
      </c>
      <c r="AH407" s="16" t="s">
        <v>203</v>
      </c>
      <c r="AI407" s="9">
        <v>24.937801376149313</v>
      </c>
      <c r="AJ407" s="16" t="s">
        <v>158</v>
      </c>
      <c r="AK407" s="287" t="s">
        <v>203</v>
      </c>
      <c r="AL407" s="9">
        <v>23.199398774567708</v>
      </c>
      <c r="AM407" s="66" t="s">
        <v>88</v>
      </c>
      <c r="AN407" s="52" t="s">
        <v>282</v>
      </c>
      <c r="AO407" s="9">
        <v>21.939997653621024</v>
      </c>
      <c r="AP407" s="60"/>
      <c r="AQ407" s="16" t="s">
        <v>2506</v>
      </c>
      <c r="AR407" s="9">
        <v>17.588239149898001</v>
      </c>
      <c r="AS407" s="16" t="s">
        <v>2506</v>
      </c>
      <c r="AT407" s="9">
        <v>5.8627463832993341</v>
      </c>
      <c r="AU407" s="78" t="s">
        <v>88</v>
      </c>
      <c r="AV407" s="9">
        <v>3.3333333333333002</v>
      </c>
      <c r="AW407" s="66" t="s">
        <v>175</v>
      </c>
      <c r="AX407" s="9">
        <v>203.74514516542001</v>
      </c>
      <c r="AY407" s="78" t="s">
        <v>175</v>
      </c>
      <c r="AZ407" s="9">
        <v>3.3957524194236668</v>
      </c>
      <c r="BA407" s="78" t="s">
        <v>88</v>
      </c>
      <c r="BB407" s="78" t="s">
        <v>175</v>
      </c>
      <c r="BC407" s="9">
        <v>16.277609477095158</v>
      </c>
      <c r="BD407" s="287" t="s">
        <v>158</v>
      </c>
      <c r="BE407" s="78" t="s">
        <v>175</v>
      </c>
      <c r="BF407" s="9">
        <v>15.285717753876508</v>
      </c>
      <c r="BG407" s="78" t="s">
        <v>88</v>
      </c>
      <c r="BH407" s="52" t="s">
        <v>282</v>
      </c>
      <c r="BI407" s="9">
        <v>12.942306278275243</v>
      </c>
      <c r="BJ407" s="66" t="s">
        <v>88</v>
      </c>
      <c r="BK407" s="287" t="s">
        <v>203</v>
      </c>
      <c r="BL407" s="9">
        <v>12.518596466017312</v>
      </c>
      <c r="BM407" s="16" t="s">
        <v>158</v>
      </c>
      <c r="BN407" s="56" t="s">
        <v>282</v>
      </c>
      <c r="BO407" s="9">
        <v>12.27859753812125</v>
      </c>
    </row>
    <row r="408" spans="1:67" x14ac:dyDescent="0.45">
      <c r="A408" s="10">
        <v>385</v>
      </c>
      <c r="B408" s="10" t="s">
        <v>724</v>
      </c>
      <c r="C408" s="59" t="s">
        <v>2177</v>
      </c>
      <c r="D408" s="65"/>
      <c r="E408" s="80" t="s">
        <v>2340</v>
      </c>
      <c r="F408" s="64" t="s">
        <v>2341</v>
      </c>
      <c r="G408" s="63" t="s">
        <v>2342</v>
      </c>
      <c r="H408" s="10"/>
      <c r="I408" s="62">
        <v>177.81750225000002</v>
      </c>
      <c r="J408" s="62">
        <v>177.81750225000002</v>
      </c>
      <c r="K408" s="62">
        <v>189.67200240000003</v>
      </c>
      <c r="L408" s="49">
        <v>3265.6028988496882</v>
      </c>
      <c r="M408" s="49">
        <v>3300.918691048048</v>
      </c>
      <c r="N408" s="49">
        <v>3329.4461109423987</v>
      </c>
      <c r="O408" s="61">
        <v>28.635167714093978</v>
      </c>
      <c r="P408" s="60"/>
      <c r="Q408" s="57" t="s">
        <v>101</v>
      </c>
      <c r="R408" s="9">
        <v>22.338100270000002</v>
      </c>
      <c r="S408" s="57" t="s">
        <v>101</v>
      </c>
      <c r="T408" s="9">
        <v>13.961312668750001</v>
      </c>
      <c r="U408" s="51" t="s">
        <v>74</v>
      </c>
      <c r="V408" s="9">
        <v>13.635999999999999</v>
      </c>
      <c r="W408" s="242" t="s">
        <v>82</v>
      </c>
      <c r="X408" s="9">
        <v>97.021451215000013</v>
      </c>
      <c r="Y408" s="59" t="s">
        <v>1527</v>
      </c>
      <c r="Z408" s="9">
        <v>44.519618202941182</v>
      </c>
      <c r="AA408" s="57" t="s">
        <v>101</v>
      </c>
      <c r="AB408" s="53" t="s">
        <v>1527</v>
      </c>
      <c r="AC408" s="9">
        <v>23.845923126955604</v>
      </c>
      <c r="AD408" s="290" t="s">
        <v>74</v>
      </c>
      <c r="AE408" s="59" t="s">
        <v>1527</v>
      </c>
      <c r="AF408" s="9">
        <v>22.61137158994638</v>
      </c>
      <c r="AG408" s="57" t="s">
        <v>101</v>
      </c>
      <c r="AH408" s="57" t="s">
        <v>82</v>
      </c>
      <c r="AI408" s="9">
        <v>21.08382607971312</v>
      </c>
      <c r="AJ408" s="51" t="s">
        <v>74</v>
      </c>
      <c r="AK408" s="242" t="s">
        <v>82</v>
      </c>
      <c r="AL408" s="9">
        <v>19.185121368298972</v>
      </c>
      <c r="AM408" s="57" t="s">
        <v>101</v>
      </c>
      <c r="AN408" s="14" t="s">
        <v>63</v>
      </c>
      <c r="AO408" s="9">
        <v>18.607820983962267</v>
      </c>
      <c r="AP408" s="60"/>
      <c r="AQ408" s="57" t="s">
        <v>101</v>
      </c>
      <c r="AR408" s="9">
        <v>23.191624280800003</v>
      </c>
      <c r="AS408" s="57" t="s">
        <v>101</v>
      </c>
      <c r="AT408" s="9">
        <v>5.7979060702000007</v>
      </c>
      <c r="AU408" s="290" t="s">
        <v>74</v>
      </c>
      <c r="AV408" s="9">
        <v>3.6666666666666998</v>
      </c>
      <c r="AW408" s="14" t="s">
        <v>63</v>
      </c>
      <c r="AX408" s="9">
        <v>128.13951410875001</v>
      </c>
      <c r="AY408" s="59" t="s">
        <v>1527</v>
      </c>
      <c r="AZ408" s="9">
        <v>2.6255809704062503</v>
      </c>
      <c r="BA408" s="242" t="s">
        <v>101</v>
      </c>
      <c r="BB408" s="59" t="s">
        <v>1527</v>
      </c>
      <c r="BC408" s="9">
        <v>12.720603703645351</v>
      </c>
      <c r="BD408" s="242" t="s">
        <v>101</v>
      </c>
      <c r="BE408" s="242" t="s">
        <v>82</v>
      </c>
      <c r="BF408" s="9">
        <v>12.006353337922414</v>
      </c>
      <c r="BG408" s="290" t="s">
        <v>74</v>
      </c>
      <c r="BH408" s="53" t="s">
        <v>1527</v>
      </c>
      <c r="BI408" s="9">
        <v>10.888689922929391</v>
      </c>
      <c r="BJ408" s="57" t="s">
        <v>101</v>
      </c>
      <c r="BK408" s="65" t="s">
        <v>63</v>
      </c>
      <c r="BL408" s="9">
        <v>10.825643386852741</v>
      </c>
      <c r="BM408" s="51" t="s">
        <v>74</v>
      </c>
      <c r="BN408" s="242" t="s">
        <v>82</v>
      </c>
      <c r="BO408" s="9">
        <v>9.9827019184453132</v>
      </c>
    </row>
    <row r="409" spans="1:67" x14ac:dyDescent="0.45">
      <c r="A409" s="10">
        <v>386</v>
      </c>
      <c r="B409" s="10" t="s">
        <v>718</v>
      </c>
      <c r="C409" s="242" t="s">
        <v>1925</v>
      </c>
      <c r="D409" s="65"/>
      <c r="E409" s="289" t="s">
        <v>2239</v>
      </c>
      <c r="F409" s="58" t="s">
        <v>2170</v>
      </c>
      <c r="G409" s="242"/>
      <c r="H409" s="10"/>
      <c r="I409" s="62">
        <v>339.03870429</v>
      </c>
      <c r="J409" s="62">
        <v>48.208300610000002</v>
      </c>
      <c r="K409" s="62">
        <v>120.12560152</v>
      </c>
      <c r="L409" s="49">
        <v>2580.0491450627974</v>
      </c>
      <c r="M409" s="49">
        <v>1567.9701296102771</v>
      </c>
      <c r="N409" s="49">
        <v>1052.7024413193831</v>
      </c>
      <c r="O409" s="61">
        <v>5.5247140340933738</v>
      </c>
      <c r="P409" s="60"/>
      <c r="Q409" s="57" t="s">
        <v>95</v>
      </c>
      <c r="R409" s="9">
        <v>25.41078670888</v>
      </c>
      <c r="S409" s="57" t="s">
        <v>95</v>
      </c>
      <c r="T409" s="9">
        <v>23.100715189890906</v>
      </c>
      <c r="U409" s="57" t="s">
        <v>95</v>
      </c>
      <c r="V409" s="9">
        <v>9.0909999999999993</v>
      </c>
      <c r="W409" s="290" t="s">
        <v>1483</v>
      </c>
      <c r="X409" s="9">
        <v>238.32709300299999</v>
      </c>
      <c r="Y409" s="290" t="s">
        <v>1483</v>
      </c>
      <c r="Z409" s="9">
        <v>64.412727838648635</v>
      </c>
      <c r="AA409" s="57" t="s">
        <v>95</v>
      </c>
      <c r="AB409" s="51" t="s">
        <v>1483</v>
      </c>
      <c r="AC409" s="9">
        <v>33.498976876993197</v>
      </c>
      <c r="AD409" s="63" t="s">
        <v>171</v>
      </c>
      <c r="AE409" s="290" t="s">
        <v>1483</v>
      </c>
      <c r="AF409" s="9">
        <v>32.331600077738848</v>
      </c>
      <c r="AG409" s="57" t="s">
        <v>95</v>
      </c>
      <c r="AH409" s="67" t="s">
        <v>160</v>
      </c>
      <c r="AI409" s="9">
        <v>31.019931207105884</v>
      </c>
      <c r="AJ409" s="54" t="s">
        <v>171</v>
      </c>
      <c r="AK409" s="76" t="s">
        <v>160</v>
      </c>
      <c r="AL409" s="9">
        <v>30.391887421918032</v>
      </c>
      <c r="AM409" s="57" t="s">
        <v>95</v>
      </c>
      <c r="AN409" s="57" t="s">
        <v>1526</v>
      </c>
      <c r="AO409" s="9">
        <v>28.468440983810524</v>
      </c>
      <c r="AP409" s="60"/>
      <c r="AQ409" s="57" t="s">
        <v>95</v>
      </c>
      <c r="AR409" s="9">
        <v>22.156015147695999</v>
      </c>
      <c r="AS409" s="57" t="s">
        <v>95</v>
      </c>
      <c r="AT409" s="9">
        <v>7.3853383825653331</v>
      </c>
      <c r="AU409" s="63" t="s">
        <v>171</v>
      </c>
      <c r="AV409" s="9">
        <v>3.5</v>
      </c>
      <c r="AW409" s="51" t="s">
        <v>1483</v>
      </c>
      <c r="AX409" s="9">
        <v>331.56273668275003</v>
      </c>
      <c r="AY409" s="242" t="s">
        <v>1526</v>
      </c>
      <c r="AZ409" s="9">
        <v>5.3175752154954283</v>
      </c>
      <c r="BA409" s="63" t="s">
        <v>171</v>
      </c>
      <c r="BB409" s="242" t="s">
        <v>1526</v>
      </c>
      <c r="BC409" s="9">
        <v>23.384334534444545</v>
      </c>
      <c r="BD409" s="63" t="s">
        <v>171</v>
      </c>
      <c r="BE409" s="290" t="s">
        <v>1483</v>
      </c>
      <c r="BF409" s="9">
        <v>20.711017450084132</v>
      </c>
      <c r="BG409" s="63" t="s">
        <v>171</v>
      </c>
      <c r="BH409" s="67" t="s">
        <v>160</v>
      </c>
      <c r="BI409" s="9">
        <v>18.245106140010279</v>
      </c>
      <c r="BJ409" s="57" t="s">
        <v>95</v>
      </c>
      <c r="BK409" s="242" t="s">
        <v>1526</v>
      </c>
      <c r="BL409" s="9">
        <v>17.046408337147746</v>
      </c>
      <c r="BM409" s="57" t="s">
        <v>95</v>
      </c>
      <c r="BN409" s="290" t="s">
        <v>1483</v>
      </c>
      <c r="BO409" s="9">
        <v>15.29210419476496</v>
      </c>
    </row>
    <row r="410" spans="1:67" x14ac:dyDescent="0.45">
      <c r="A410" s="10">
        <v>386</v>
      </c>
      <c r="B410" s="10" t="s">
        <v>715</v>
      </c>
      <c r="C410" s="242" t="s">
        <v>1925</v>
      </c>
      <c r="D410" s="65"/>
      <c r="E410" s="289" t="s">
        <v>2239</v>
      </c>
      <c r="F410" s="58" t="s">
        <v>2170</v>
      </c>
      <c r="G410" s="242"/>
      <c r="H410" s="10"/>
      <c r="I410" s="62">
        <v>193.62350245000002</v>
      </c>
      <c r="J410" s="62">
        <v>184.13990233000001</v>
      </c>
      <c r="K410" s="62">
        <v>120.12560152</v>
      </c>
      <c r="L410" s="49">
        <v>2879.7170233493498</v>
      </c>
      <c r="M410" s="49">
        <v>2637.3091230068685</v>
      </c>
      <c r="N410" s="49">
        <v>2458.1592550261184</v>
      </c>
      <c r="O410" s="61">
        <v>18.680154674038551</v>
      </c>
      <c r="P410" s="60"/>
      <c r="Q410" s="57" t="s">
        <v>95</v>
      </c>
      <c r="R410" s="9">
        <v>14.9408921764</v>
      </c>
      <c r="S410" s="57" t="s">
        <v>95</v>
      </c>
      <c r="T410" s="9">
        <v>13.582629251272726</v>
      </c>
      <c r="U410" s="51" t="s">
        <v>74</v>
      </c>
      <c r="V410" s="9">
        <v>13.635999999999999</v>
      </c>
      <c r="W410" s="242" t="s">
        <v>1526</v>
      </c>
      <c r="X410" s="9">
        <v>82.321871029000008</v>
      </c>
      <c r="Y410" s="290" t="s">
        <v>182</v>
      </c>
      <c r="Z410" s="9">
        <v>31.379760392000001</v>
      </c>
      <c r="AA410" s="57" t="s">
        <v>95</v>
      </c>
      <c r="AB410" s="51" t="s">
        <v>182</v>
      </c>
      <c r="AC410" s="9">
        <v>19.144232732750002</v>
      </c>
      <c r="AD410" s="290" t="s">
        <v>74</v>
      </c>
      <c r="AE410" s="290" t="s">
        <v>182</v>
      </c>
      <c r="AF410" s="9">
        <v>17.448519130810812</v>
      </c>
      <c r="AG410" s="57" t="s">
        <v>95</v>
      </c>
      <c r="AH410" s="57" t="s">
        <v>1526</v>
      </c>
      <c r="AI410" s="9">
        <v>16.529087569578948</v>
      </c>
      <c r="AJ410" s="57" t="s">
        <v>95</v>
      </c>
      <c r="AK410" s="64" t="s">
        <v>120</v>
      </c>
      <c r="AL410" s="9">
        <v>16.119459230963855</v>
      </c>
      <c r="AM410" s="51" t="s">
        <v>74</v>
      </c>
      <c r="AN410" s="57" t="s">
        <v>1526</v>
      </c>
      <c r="AO410" s="9">
        <v>14.539783220304347</v>
      </c>
      <c r="AP410" s="60"/>
      <c r="AQ410" s="57" t="s">
        <v>95</v>
      </c>
      <c r="AR410" s="9">
        <v>13.082106552880001</v>
      </c>
      <c r="AS410" s="57" t="s">
        <v>95</v>
      </c>
      <c r="AT410" s="9">
        <v>4.3607021842933333</v>
      </c>
      <c r="AU410" s="290" t="s">
        <v>74</v>
      </c>
      <c r="AV410" s="9">
        <v>3.6666666666666998</v>
      </c>
      <c r="AW410" s="51" t="s">
        <v>182</v>
      </c>
      <c r="AX410" s="9">
        <v>114.26974893325001</v>
      </c>
      <c r="AY410" s="242" t="s">
        <v>1526</v>
      </c>
      <c r="AZ410" s="9">
        <v>3.0490980667914287</v>
      </c>
      <c r="BA410" s="290" t="s">
        <v>74</v>
      </c>
      <c r="BB410" s="242" t="s">
        <v>1526</v>
      </c>
      <c r="BC410" s="9">
        <v>12.320254221996338</v>
      </c>
      <c r="BD410" s="242" t="s">
        <v>95</v>
      </c>
      <c r="BE410" s="242" t="s">
        <v>1526</v>
      </c>
      <c r="BF410" s="9">
        <v>9.8935524628558564</v>
      </c>
      <c r="BG410" s="290" t="s">
        <v>74</v>
      </c>
      <c r="BH410" s="51" t="s">
        <v>182</v>
      </c>
      <c r="BI410" s="9">
        <v>9.4208480050859382</v>
      </c>
      <c r="BJ410" s="57" t="s">
        <v>95</v>
      </c>
      <c r="BK410" s="290" t="s">
        <v>182</v>
      </c>
      <c r="BL410" s="9">
        <v>8.2171599649584799</v>
      </c>
      <c r="BM410" s="51" t="s">
        <v>74</v>
      </c>
      <c r="BN410" s="64" t="s">
        <v>120</v>
      </c>
      <c r="BO410" s="9">
        <v>7.0610615689765632</v>
      </c>
    </row>
    <row r="411" spans="1:67" x14ac:dyDescent="0.45">
      <c r="A411" s="10">
        <v>386</v>
      </c>
      <c r="B411" s="10" t="s">
        <v>721</v>
      </c>
      <c r="C411" s="242" t="s">
        <v>1925</v>
      </c>
      <c r="D411" s="65"/>
      <c r="E411" s="289" t="s">
        <v>2239</v>
      </c>
      <c r="F411" s="58" t="s">
        <v>2170</v>
      </c>
      <c r="G411" s="242"/>
      <c r="H411" s="10"/>
      <c r="I411" s="62">
        <v>125.65770159</v>
      </c>
      <c r="J411" s="62">
        <v>272.65350345000002</v>
      </c>
      <c r="K411" s="62">
        <v>120.12560152</v>
      </c>
      <c r="L411" s="49">
        <v>2274.1150937340149</v>
      </c>
      <c r="M411" s="49">
        <v>2568.1704610034531</v>
      </c>
      <c r="N411" s="49">
        <v>2830.5639487479784</v>
      </c>
      <c r="O411" s="61">
        <v>25.735729340058686</v>
      </c>
      <c r="P411" s="60"/>
      <c r="Q411" s="57" t="s">
        <v>95</v>
      </c>
      <c r="R411" s="9">
        <v>10.04735451448</v>
      </c>
      <c r="S411" s="55" t="s">
        <v>45</v>
      </c>
      <c r="T411" s="9">
        <v>9.4882912171111098</v>
      </c>
      <c r="U411" s="57" t="s">
        <v>95</v>
      </c>
      <c r="V411" s="9">
        <v>9.0909999999999993</v>
      </c>
      <c r="W411" s="242" t="s">
        <v>1526</v>
      </c>
      <c r="X411" s="9">
        <v>53.776234667799997</v>
      </c>
      <c r="Y411" s="290" t="s">
        <v>182</v>
      </c>
      <c r="Z411" s="9">
        <v>20.505232254399999</v>
      </c>
      <c r="AA411" s="55" t="s">
        <v>45</v>
      </c>
      <c r="AB411" s="51" t="s">
        <v>182</v>
      </c>
      <c r="AC411" s="9">
        <v>12.878119228584614</v>
      </c>
      <c r="AD411" s="242" t="s">
        <v>95</v>
      </c>
      <c r="AE411" s="290" t="s">
        <v>182</v>
      </c>
      <c r="AF411" s="9">
        <v>12.68748165105</v>
      </c>
      <c r="AG411" s="55" t="s">
        <v>45</v>
      </c>
      <c r="AH411" s="52" t="s">
        <v>40</v>
      </c>
      <c r="AI411" s="9">
        <v>12.568734982852851</v>
      </c>
      <c r="AJ411" s="57" t="s">
        <v>95</v>
      </c>
      <c r="AK411" s="56" t="s">
        <v>40</v>
      </c>
      <c r="AL411" s="9">
        <v>12.378030879073169</v>
      </c>
      <c r="AM411" s="55" t="s">
        <v>45</v>
      </c>
      <c r="AN411" s="57" t="s">
        <v>1526</v>
      </c>
      <c r="AO411" s="9">
        <v>11.132246520940258</v>
      </c>
      <c r="AP411" s="60"/>
      <c r="AQ411" s="57" t="s">
        <v>95</v>
      </c>
      <c r="AR411" s="9">
        <v>8.8410405792160009</v>
      </c>
      <c r="AS411" s="55" t="s">
        <v>45</v>
      </c>
      <c r="AT411" s="9">
        <v>3.7671002413400001</v>
      </c>
      <c r="AU411" s="58" t="s">
        <v>45</v>
      </c>
      <c r="AV411" s="9">
        <v>3.5</v>
      </c>
      <c r="AW411" s="51" t="s">
        <v>182</v>
      </c>
      <c r="AX411" s="9">
        <v>74.509755430150008</v>
      </c>
      <c r="AY411" s="242" t="s">
        <v>1526</v>
      </c>
      <c r="AZ411" s="9">
        <v>1.9888315733754289</v>
      </c>
      <c r="BA411" s="58" t="s">
        <v>45</v>
      </c>
      <c r="BB411" s="242" t="s">
        <v>1526</v>
      </c>
      <c r="BC411" s="9">
        <v>9.7527370437763654</v>
      </c>
      <c r="BD411" s="58" t="s">
        <v>45</v>
      </c>
      <c r="BE411" s="56" t="s">
        <v>40</v>
      </c>
      <c r="BF411" s="9">
        <v>8.2828150052391756</v>
      </c>
      <c r="BG411" s="58" t="s">
        <v>45</v>
      </c>
      <c r="BH411" s="51" t="s">
        <v>182</v>
      </c>
      <c r="BI411" s="9">
        <v>7.9995667910978643</v>
      </c>
      <c r="BJ411" s="57" t="s">
        <v>95</v>
      </c>
      <c r="BK411" s="242" t="s">
        <v>1526</v>
      </c>
      <c r="BL411" s="9">
        <v>6.5503698259585592</v>
      </c>
      <c r="BM411" s="57" t="s">
        <v>95</v>
      </c>
      <c r="BN411" s="56" t="s">
        <v>40</v>
      </c>
      <c r="BO411" s="9">
        <v>5.6446727306774473</v>
      </c>
    </row>
    <row r="412" spans="1:67" x14ac:dyDescent="0.45">
      <c r="A412" s="10">
        <v>386</v>
      </c>
      <c r="B412" s="10" t="s">
        <v>713</v>
      </c>
      <c r="C412" s="242" t="s">
        <v>1925</v>
      </c>
      <c r="D412" s="65"/>
      <c r="E412" s="289" t="s">
        <v>2239</v>
      </c>
      <c r="F412" s="58" t="s">
        <v>2170</v>
      </c>
      <c r="G412" s="242"/>
      <c r="H412" s="10"/>
      <c r="I412" s="62">
        <v>284.5080036</v>
      </c>
      <c r="J412" s="62">
        <v>102.73900130000001</v>
      </c>
      <c r="K412" s="62">
        <v>120.12560152</v>
      </c>
      <c r="L412" s="49">
        <v>3160.675760162751</v>
      </c>
      <c r="M412" s="49">
        <v>2310.1682043597671</v>
      </c>
      <c r="N412" s="49">
        <v>1797.7716493717307</v>
      </c>
      <c r="O412" s="61">
        <v>11.19175463657065</v>
      </c>
      <c r="P412" s="60"/>
      <c r="Q412" s="57" t="s">
        <v>95</v>
      </c>
      <c r="R412" s="9">
        <v>21.484576259199997</v>
      </c>
      <c r="S412" s="57" t="s">
        <v>95</v>
      </c>
      <c r="T412" s="9">
        <v>19.531432962909086</v>
      </c>
      <c r="U412" s="51" t="s">
        <v>74</v>
      </c>
      <c r="V412" s="9">
        <v>13.635999999999999</v>
      </c>
      <c r="W412" s="64" t="s">
        <v>112</v>
      </c>
      <c r="X412" s="9">
        <v>214.38100270000001</v>
      </c>
      <c r="Y412" s="64" t="s">
        <v>112</v>
      </c>
      <c r="Z412" s="9">
        <v>56.416053342105272</v>
      </c>
      <c r="AA412" s="57" t="s">
        <v>95</v>
      </c>
      <c r="AB412" s="15" t="s">
        <v>112</v>
      </c>
      <c r="AC412" s="9">
        <v>29.001808465675673</v>
      </c>
      <c r="AD412" s="242" t="s">
        <v>95</v>
      </c>
      <c r="AE412" s="290" t="s">
        <v>182</v>
      </c>
      <c r="AF412" s="9">
        <v>27.778260341999996</v>
      </c>
      <c r="AG412" s="51" t="s">
        <v>74</v>
      </c>
      <c r="AH412" s="15" t="s">
        <v>112</v>
      </c>
      <c r="AI412" s="9">
        <v>26.177673365913048</v>
      </c>
      <c r="AJ412" s="51" t="s">
        <v>74</v>
      </c>
      <c r="AK412" s="290" t="s">
        <v>182</v>
      </c>
      <c r="AL412" s="9">
        <v>25.308800311351352</v>
      </c>
      <c r="AM412" s="57" t="s">
        <v>95</v>
      </c>
      <c r="AN412" s="57" t="s">
        <v>1526</v>
      </c>
      <c r="AO412" s="9">
        <v>23.991183453473685</v>
      </c>
      <c r="AP412" s="60"/>
      <c r="AQ412" s="57" t="s">
        <v>95</v>
      </c>
      <c r="AR412" s="9">
        <v>18.753299424640002</v>
      </c>
      <c r="AS412" s="57" t="s">
        <v>95</v>
      </c>
      <c r="AT412" s="9">
        <v>6.2510998082133336</v>
      </c>
      <c r="AU412" s="290" t="s">
        <v>74</v>
      </c>
      <c r="AV412" s="9">
        <v>3.6666666666666998</v>
      </c>
      <c r="AW412" s="15" t="s">
        <v>112</v>
      </c>
      <c r="AX412" s="9">
        <v>278.39530351000002</v>
      </c>
      <c r="AY412" s="242" t="s">
        <v>1526</v>
      </c>
      <c r="AZ412" s="9">
        <v>4.4668962847314289</v>
      </c>
      <c r="BA412" s="290" t="s">
        <v>74</v>
      </c>
      <c r="BB412" s="242" t="s">
        <v>1526</v>
      </c>
      <c r="BC412" s="9">
        <v>17.917094169970692</v>
      </c>
      <c r="BD412" s="290" t="s">
        <v>74</v>
      </c>
      <c r="BE412" s="64" t="s">
        <v>112</v>
      </c>
      <c r="BF412" s="9">
        <v>15.466410948087653</v>
      </c>
      <c r="BG412" s="242" t="s">
        <v>95</v>
      </c>
      <c r="BH412" s="57" t="s">
        <v>1526</v>
      </c>
      <c r="BI412" s="9">
        <v>14.364087384288286</v>
      </c>
      <c r="BJ412" s="51" t="s">
        <v>74</v>
      </c>
      <c r="BK412" s="290" t="s">
        <v>182</v>
      </c>
      <c r="BL412" s="9">
        <v>13.666858293187499</v>
      </c>
      <c r="BM412" s="57" t="s">
        <v>95</v>
      </c>
      <c r="BN412" s="64" t="s">
        <v>112</v>
      </c>
      <c r="BO412" s="9">
        <v>12.888763313134962</v>
      </c>
    </row>
    <row r="413" spans="1:67" x14ac:dyDescent="0.45">
      <c r="A413" s="10">
        <v>387</v>
      </c>
      <c r="B413" s="10" t="s">
        <v>710</v>
      </c>
      <c r="C413" s="79" t="s">
        <v>1983</v>
      </c>
      <c r="D413" s="65"/>
      <c r="E413" s="63" t="s">
        <v>2265</v>
      </c>
      <c r="F413" s="80" t="s">
        <v>2266</v>
      </c>
      <c r="G413" s="242"/>
      <c r="H413" s="10"/>
      <c r="I413" s="62">
        <v>105.90020134000001</v>
      </c>
      <c r="J413" s="62">
        <v>98.787501250000005</v>
      </c>
      <c r="K413" s="62">
        <v>127.23830161000001</v>
      </c>
      <c r="L413" s="49">
        <v>1187.2897479378305</v>
      </c>
      <c r="M413" s="49">
        <v>1210.0716877725645</v>
      </c>
      <c r="N413" s="49">
        <v>1228.6115831115226</v>
      </c>
      <c r="O413" s="61">
        <v>11.439476573082974</v>
      </c>
      <c r="P413" s="60"/>
      <c r="Q413" s="72" t="s">
        <v>64</v>
      </c>
      <c r="R413" s="9">
        <v>9.2602157045200002</v>
      </c>
      <c r="S413" s="72" t="s">
        <v>64</v>
      </c>
      <c r="T413" s="9">
        <v>9.2602157045200002</v>
      </c>
      <c r="U413" s="15" t="s">
        <v>127</v>
      </c>
      <c r="V413" s="9">
        <v>10</v>
      </c>
      <c r="W413" s="79" t="s">
        <v>33</v>
      </c>
      <c r="X413" s="9">
        <v>58.1861087236</v>
      </c>
      <c r="Y413" s="64" t="s">
        <v>52</v>
      </c>
      <c r="Z413" s="9">
        <v>27.903621763571433</v>
      </c>
      <c r="AA413" s="72" t="s">
        <v>64</v>
      </c>
      <c r="AB413" s="72" t="s">
        <v>264</v>
      </c>
      <c r="AC413" s="9">
        <v>11.664885258419154</v>
      </c>
      <c r="AD413" s="79" t="s">
        <v>64</v>
      </c>
      <c r="AE413" s="64" t="s">
        <v>52</v>
      </c>
      <c r="AF413" s="9">
        <v>11.649562426996512</v>
      </c>
      <c r="AG413" s="72" t="s">
        <v>64</v>
      </c>
      <c r="AH413" s="72" t="s">
        <v>33</v>
      </c>
      <c r="AI413" s="9">
        <v>11.258907455254851</v>
      </c>
      <c r="AJ413" s="15" t="s">
        <v>127</v>
      </c>
      <c r="AK413" s="79" t="s">
        <v>264</v>
      </c>
      <c r="AL413" s="9">
        <v>11.091490797337423</v>
      </c>
      <c r="AM413" s="15" t="s">
        <v>127</v>
      </c>
      <c r="AN413" s="15" t="s">
        <v>52</v>
      </c>
      <c r="AO413" s="9">
        <v>10.871711270537192</v>
      </c>
      <c r="AP413" s="60"/>
      <c r="AQ413" s="72" t="s">
        <v>64</v>
      </c>
      <c r="AR413" s="9">
        <v>10.086237274972001</v>
      </c>
      <c r="AS413" s="72" t="s">
        <v>64</v>
      </c>
      <c r="AT413" s="9">
        <v>5.0431186374860006</v>
      </c>
      <c r="AU413" s="64" t="s">
        <v>2472</v>
      </c>
      <c r="AV413" s="9">
        <v>2</v>
      </c>
      <c r="AW413" s="15" t="s">
        <v>52</v>
      </c>
      <c r="AX413" s="9">
        <v>90.485670132300015</v>
      </c>
      <c r="AY413" s="64" t="s">
        <v>52</v>
      </c>
      <c r="AZ413" s="9">
        <v>1.2926524304614289</v>
      </c>
      <c r="BA413" s="79" t="s">
        <v>64</v>
      </c>
      <c r="BB413" s="64" t="s">
        <v>52</v>
      </c>
      <c r="BC413" s="9">
        <v>7.4165228456752788</v>
      </c>
      <c r="BD413" s="79" t="s">
        <v>64</v>
      </c>
      <c r="BE413" s="79" t="s">
        <v>33</v>
      </c>
      <c r="BF413" s="9">
        <v>7.3108225956535495</v>
      </c>
      <c r="BG413" s="79" t="s">
        <v>64</v>
      </c>
      <c r="BH413" s="15" t="s">
        <v>1480</v>
      </c>
      <c r="BI413" s="9">
        <v>7.0570624150597299</v>
      </c>
      <c r="BJ413" s="72" t="s">
        <v>64</v>
      </c>
      <c r="BK413" s="79" t="s">
        <v>264</v>
      </c>
      <c r="BL413" s="9">
        <v>7.0139790059323817</v>
      </c>
      <c r="BM413" s="15" t="s">
        <v>127</v>
      </c>
      <c r="BN413" s="64" t="s">
        <v>52</v>
      </c>
      <c r="BO413" s="9">
        <v>5.4934043763013891</v>
      </c>
    </row>
    <row r="414" spans="1:67" x14ac:dyDescent="0.45">
      <c r="A414" s="10">
        <v>388</v>
      </c>
      <c r="B414" s="10" t="s">
        <v>708</v>
      </c>
      <c r="C414" s="79" t="s">
        <v>1983</v>
      </c>
      <c r="D414" s="65"/>
      <c r="E414" s="63" t="s">
        <v>2265</v>
      </c>
      <c r="F414" s="80" t="s">
        <v>2266</v>
      </c>
      <c r="G414" s="242"/>
      <c r="H414" s="10"/>
      <c r="I414" s="62">
        <v>135.93160172</v>
      </c>
      <c r="J414" s="62">
        <v>124.86740158000001</v>
      </c>
      <c r="K414" s="62">
        <v>154.89880196000001</v>
      </c>
      <c r="L414" s="49">
        <v>1890.4665656340553</v>
      </c>
      <c r="M414" s="49">
        <v>1904.9271794462009</v>
      </c>
      <c r="N414" s="49">
        <v>1916.5752710212182</v>
      </c>
      <c r="O414" s="61">
        <v>17.194747471064154</v>
      </c>
      <c r="P414" s="60"/>
      <c r="Q414" s="72" t="s">
        <v>64</v>
      </c>
      <c r="R414" s="9">
        <v>11.60266493416</v>
      </c>
      <c r="S414" s="72" t="s">
        <v>64</v>
      </c>
      <c r="T414" s="9">
        <v>11.60266493416</v>
      </c>
      <c r="U414" s="67" t="s">
        <v>66</v>
      </c>
      <c r="V414" s="9">
        <v>8</v>
      </c>
      <c r="W414" s="79" t="s">
        <v>9</v>
      </c>
      <c r="X414" s="9">
        <v>147.80612985759998</v>
      </c>
      <c r="Y414" s="64" t="s">
        <v>52</v>
      </c>
      <c r="Z414" s="9">
        <v>35.411471858571431</v>
      </c>
      <c r="AA414" s="72" t="s">
        <v>64</v>
      </c>
      <c r="AB414" s="72" t="s">
        <v>9</v>
      </c>
      <c r="AC414" s="9">
        <v>16.173171048743718</v>
      </c>
      <c r="AD414" s="76" t="s">
        <v>66</v>
      </c>
      <c r="AE414" s="79" t="s">
        <v>9</v>
      </c>
      <c r="AF414" s="9">
        <v>15.790507537218391</v>
      </c>
      <c r="AG414" s="72" t="s">
        <v>64</v>
      </c>
      <c r="AH414" s="15" t="s">
        <v>52</v>
      </c>
      <c r="AI414" s="9">
        <v>14.654011593173495</v>
      </c>
      <c r="AJ414" s="72" t="s">
        <v>64</v>
      </c>
      <c r="AK414" s="79" t="s">
        <v>33</v>
      </c>
      <c r="AL414" s="9">
        <v>14.242622266618369</v>
      </c>
      <c r="AM414" s="67" t="s">
        <v>66</v>
      </c>
      <c r="AN414" s="15" t="s">
        <v>52</v>
      </c>
      <c r="AO414" s="9">
        <v>13.788547410479451</v>
      </c>
      <c r="AP414" s="60"/>
      <c r="AQ414" s="72" t="s">
        <v>64</v>
      </c>
      <c r="AR414" s="9">
        <v>12.662931427576</v>
      </c>
      <c r="AS414" s="72" t="s">
        <v>64</v>
      </c>
      <c r="AT414" s="9">
        <v>6.3314657137879999</v>
      </c>
      <c r="AU414" s="76" t="s">
        <v>2507</v>
      </c>
      <c r="AV414" s="9">
        <v>2</v>
      </c>
      <c r="AW414" s="72" t="s">
        <v>9</v>
      </c>
      <c r="AX414" s="9">
        <v>160.03997401240002</v>
      </c>
      <c r="AY414" s="79" t="s">
        <v>9</v>
      </c>
      <c r="AZ414" s="9">
        <v>2.0004996751550004</v>
      </c>
      <c r="BA414" s="79" t="s">
        <v>64</v>
      </c>
      <c r="BB414" s="79" t="s">
        <v>9</v>
      </c>
      <c r="BC414" s="9">
        <v>10.080453721071221</v>
      </c>
      <c r="BD414" s="79" t="s">
        <v>64</v>
      </c>
      <c r="BE414" s="64" t="s">
        <v>52</v>
      </c>
      <c r="BF414" s="9">
        <v>9.3739862065549993</v>
      </c>
      <c r="BG414" s="79" t="s">
        <v>64</v>
      </c>
      <c r="BH414" s="72" t="s">
        <v>33</v>
      </c>
      <c r="BI414" s="9">
        <v>9.2376759942283861</v>
      </c>
      <c r="BJ414" s="72" t="s">
        <v>64</v>
      </c>
      <c r="BK414" s="64" t="s">
        <v>1480</v>
      </c>
      <c r="BL414" s="9">
        <v>8.9088634952481076</v>
      </c>
      <c r="BM414" s="67" t="s">
        <v>66</v>
      </c>
      <c r="BN414" s="79" t="s">
        <v>9</v>
      </c>
      <c r="BO414" s="9">
        <v>8.3270448732000002</v>
      </c>
    </row>
    <row r="415" spans="1:67" x14ac:dyDescent="0.45">
      <c r="A415" s="10">
        <v>389</v>
      </c>
      <c r="B415" s="10" t="s">
        <v>200</v>
      </c>
      <c r="C415" s="80" t="s">
        <v>2179</v>
      </c>
      <c r="D415" s="291" t="s">
        <v>1919</v>
      </c>
      <c r="E415" s="287" t="s">
        <v>2347</v>
      </c>
      <c r="F415" s="80" t="s">
        <v>2122</v>
      </c>
      <c r="G415" s="242"/>
      <c r="H415" s="290" t="s">
        <v>1992</v>
      </c>
      <c r="I415" s="62">
        <v>171.49510217000002</v>
      </c>
      <c r="J415" s="62">
        <v>160.43090203</v>
      </c>
      <c r="K415" s="62">
        <v>182.55930231000002</v>
      </c>
      <c r="L415" s="49">
        <v>2934.9297980769252</v>
      </c>
      <c r="M415" s="49">
        <v>2932.8902331474915</v>
      </c>
      <c r="N415" s="49">
        <v>2931.2596017438141</v>
      </c>
      <c r="O415" s="61">
        <v>25.239032752683102</v>
      </c>
      <c r="P415" s="60"/>
      <c r="Q415" s="72" t="s">
        <v>64</v>
      </c>
      <c r="R415" s="9">
        <v>14.376617969260002</v>
      </c>
      <c r="S415" s="72" t="s">
        <v>64</v>
      </c>
      <c r="T415" s="9">
        <v>14.376617969260002</v>
      </c>
      <c r="U415" s="67" t="s">
        <v>66</v>
      </c>
      <c r="V415" s="9">
        <v>8</v>
      </c>
      <c r="W415" s="79" t="s">
        <v>9</v>
      </c>
      <c r="X415" s="9">
        <v>186.21471034360002</v>
      </c>
      <c r="Y415" s="64" t="s">
        <v>52</v>
      </c>
      <c r="Z415" s="9">
        <v>44.302346971071437</v>
      </c>
      <c r="AA415" s="72" t="s">
        <v>64</v>
      </c>
      <c r="AB415" s="72" t="s">
        <v>1565</v>
      </c>
      <c r="AC415" s="9">
        <v>21.203963747463344</v>
      </c>
      <c r="AD415" s="76" t="s">
        <v>66</v>
      </c>
      <c r="AE415" s="79" t="s">
        <v>1565</v>
      </c>
      <c r="AF415" s="9">
        <v>20.418951933983053</v>
      </c>
      <c r="AG415" s="72" t="s">
        <v>64</v>
      </c>
      <c r="AH415" s="72" t="s">
        <v>9</v>
      </c>
      <c r="AI415" s="9">
        <v>20.194169843341712</v>
      </c>
      <c r="AJ415" s="67" t="s">
        <v>66</v>
      </c>
      <c r="AK415" s="79" t="s">
        <v>9</v>
      </c>
      <c r="AL415" s="9">
        <v>19.530806722477017</v>
      </c>
      <c r="AM415" s="72" t="s">
        <v>64</v>
      </c>
      <c r="AN415" s="71" t="s">
        <v>79</v>
      </c>
      <c r="AO415" s="9">
        <v>19.392750288263439</v>
      </c>
      <c r="AP415" s="60"/>
      <c r="AQ415" s="72" t="s">
        <v>64</v>
      </c>
      <c r="AR415" s="9">
        <v>15.714279766186003</v>
      </c>
      <c r="AS415" s="72" t="s">
        <v>64</v>
      </c>
      <c r="AT415" s="9">
        <v>7.8571398830930015</v>
      </c>
      <c r="AU415" s="76" t="s">
        <v>2507</v>
      </c>
      <c r="AV415" s="9">
        <v>2</v>
      </c>
      <c r="AW415" s="72" t="s">
        <v>9</v>
      </c>
      <c r="AX415" s="9">
        <v>201.64926953890003</v>
      </c>
      <c r="AY415" s="79" t="s">
        <v>1565</v>
      </c>
      <c r="AZ415" s="9">
        <v>2.9948039931688895</v>
      </c>
      <c r="BA415" s="79" t="s">
        <v>64</v>
      </c>
      <c r="BB415" s="79" t="s">
        <v>1565</v>
      </c>
      <c r="BC415" s="9">
        <v>13.257524555837982</v>
      </c>
      <c r="BD415" s="79" t="s">
        <v>64</v>
      </c>
      <c r="BE415" s="79" t="s">
        <v>9</v>
      </c>
      <c r="BF415" s="9">
        <v>12.583777191771222</v>
      </c>
      <c r="BG415" s="79" t="s">
        <v>64</v>
      </c>
      <c r="BH415" s="71" t="s">
        <v>79</v>
      </c>
      <c r="BI415" s="9">
        <v>12.444073487511719</v>
      </c>
      <c r="BJ415" s="72" t="s">
        <v>64</v>
      </c>
      <c r="BK415" s="64" t="s">
        <v>52</v>
      </c>
      <c r="BL415" s="9">
        <v>11.692034923386252</v>
      </c>
      <c r="BM415" s="72" t="s">
        <v>64</v>
      </c>
      <c r="BN415" s="56" t="s">
        <v>87</v>
      </c>
      <c r="BO415" s="9">
        <v>11.527830287563424</v>
      </c>
    </row>
    <row r="416" spans="1:67" x14ac:dyDescent="0.45">
      <c r="A416" s="10">
        <v>390</v>
      </c>
      <c r="B416" s="10" t="s">
        <v>706</v>
      </c>
      <c r="C416" s="75" t="s">
        <v>1976</v>
      </c>
      <c r="D416" s="65"/>
      <c r="E416" s="80" t="s">
        <v>2198</v>
      </c>
      <c r="F416" s="289" t="s">
        <v>2199</v>
      </c>
      <c r="G416" s="242"/>
      <c r="H416" s="10"/>
      <c r="I416" s="62">
        <v>101.15840128000001</v>
      </c>
      <c r="J416" s="62">
        <v>79.820301010000009</v>
      </c>
      <c r="K416" s="62">
        <v>112.22260142</v>
      </c>
      <c r="L416" s="49">
        <v>957.41186125693616</v>
      </c>
      <c r="M416" s="49">
        <v>936.40509221484081</v>
      </c>
      <c r="N416" s="49">
        <v>919.93202357265454</v>
      </c>
      <c r="O416" s="61">
        <v>8.2954930714779174</v>
      </c>
      <c r="P416" s="60"/>
      <c r="Q416" s="70" t="s">
        <v>138</v>
      </c>
      <c r="R416" s="9">
        <v>7.0695040768000004</v>
      </c>
      <c r="S416" s="15" t="s">
        <v>1489</v>
      </c>
      <c r="T416" s="9">
        <v>8.0695040768000013</v>
      </c>
      <c r="U416" s="70" t="s">
        <v>138</v>
      </c>
      <c r="V416" s="9">
        <v>10</v>
      </c>
      <c r="W416" s="75" t="s">
        <v>2378</v>
      </c>
      <c r="X416" s="9">
        <v>43.486528537600002</v>
      </c>
      <c r="Y416" s="75" t="s">
        <v>76</v>
      </c>
      <c r="Z416" s="9">
        <v>19.766603880727271</v>
      </c>
      <c r="AA416" s="15" t="s">
        <v>1489</v>
      </c>
      <c r="AB416" s="70" t="s">
        <v>76</v>
      </c>
      <c r="AC416" s="9">
        <v>11.114902842319529</v>
      </c>
      <c r="AD416" s="75" t="s">
        <v>138</v>
      </c>
      <c r="AE416" s="75" t="s">
        <v>76</v>
      </c>
      <c r="AF416" s="9">
        <v>10.949173461333332</v>
      </c>
      <c r="AG416" s="15" t="s">
        <v>1489</v>
      </c>
      <c r="AH416" s="70" t="s">
        <v>1525</v>
      </c>
      <c r="AI416" s="9">
        <v>9.8158016693631289</v>
      </c>
      <c r="AJ416" s="15" t="s">
        <v>1489</v>
      </c>
      <c r="AK416" s="75" t="s">
        <v>1482</v>
      </c>
      <c r="AL416" s="9">
        <v>9.6790119904937253</v>
      </c>
      <c r="AM416" s="70" t="s">
        <v>138</v>
      </c>
      <c r="AN416" s="70" t="s">
        <v>1525</v>
      </c>
      <c r="AO416" s="9">
        <v>9.449940888935064</v>
      </c>
      <c r="AP416" s="60"/>
      <c r="AQ416" s="70" t="s">
        <v>138</v>
      </c>
      <c r="AR416" s="9">
        <v>5.7342131799040006</v>
      </c>
      <c r="AS416" s="15" t="s">
        <v>1489</v>
      </c>
      <c r="AT416" s="9">
        <v>3.6301184332800003</v>
      </c>
      <c r="AU416" s="75" t="s">
        <v>138</v>
      </c>
      <c r="AV416" s="9">
        <v>3</v>
      </c>
      <c r="AW416" s="70" t="s">
        <v>76</v>
      </c>
      <c r="AX416" s="9">
        <v>72.013197698560006</v>
      </c>
      <c r="AY416" s="75" t="s">
        <v>76</v>
      </c>
      <c r="AZ416" s="9">
        <v>1.3093308672465456</v>
      </c>
      <c r="BA416" s="75" t="s">
        <v>138</v>
      </c>
      <c r="BB416" s="75" t="s">
        <v>76</v>
      </c>
      <c r="BC416" s="9">
        <v>6.4436285438455174</v>
      </c>
      <c r="BD416" s="64" t="s">
        <v>1489</v>
      </c>
      <c r="BE416" s="75" t="s">
        <v>76</v>
      </c>
      <c r="BF416" s="9">
        <v>6.0295247232898257</v>
      </c>
      <c r="BG416" s="75" t="s">
        <v>138</v>
      </c>
      <c r="BH416" s="70" t="s">
        <v>1482</v>
      </c>
      <c r="BI416" s="9">
        <v>5.8877885055516987</v>
      </c>
      <c r="BJ416" s="15" t="s">
        <v>1489</v>
      </c>
      <c r="BK416" s="75" t="s">
        <v>1482</v>
      </c>
      <c r="BL416" s="9">
        <v>5.6532864588800003</v>
      </c>
      <c r="BM416" s="70" t="s">
        <v>138</v>
      </c>
      <c r="BN416" s="75" t="s">
        <v>1525</v>
      </c>
      <c r="BO416" s="9">
        <v>5.2192630662841379</v>
      </c>
    </row>
    <row r="417" spans="1:67" x14ac:dyDescent="0.45">
      <c r="A417" s="10">
        <v>391</v>
      </c>
      <c r="B417" s="10" t="s">
        <v>703</v>
      </c>
      <c r="C417" s="58" t="s">
        <v>2160</v>
      </c>
      <c r="D417" s="65"/>
      <c r="E417" s="80" t="s">
        <v>2316</v>
      </c>
      <c r="F417" s="59" t="s">
        <v>2317</v>
      </c>
      <c r="G417" s="289" t="s">
        <v>1887</v>
      </c>
      <c r="H417" s="10"/>
      <c r="I417" s="62">
        <v>136.72190173000001</v>
      </c>
      <c r="J417" s="62">
        <v>94.836001200000013</v>
      </c>
      <c r="K417" s="62">
        <v>139.88310177</v>
      </c>
      <c r="L417" s="49">
        <v>1574.7344705913606</v>
      </c>
      <c r="M417" s="49">
        <v>1487.2513959406519</v>
      </c>
      <c r="N417" s="49">
        <v>1420.7773535041131</v>
      </c>
      <c r="O417" s="61">
        <v>12.11684123720743</v>
      </c>
      <c r="P417" s="60"/>
      <c r="Q417" s="55" t="s">
        <v>53</v>
      </c>
      <c r="R417" s="9">
        <v>13.304971155700001</v>
      </c>
      <c r="S417" s="55" t="s">
        <v>53</v>
      </c>
      <c r="T417" s="9">
        <v>10.234593196692307</v>
      </c>
      <c r="U417" s="70" t="s">
        <v>138</v>
      </c>
      <c r="V417" s="9">
        <v>10</v>
      </c>
      <c r="W417" s="75" t="s">
        <v>76</v>
      </c>
      <c r="X417" s="9">
        <v>58.423198726600006</v>
      </c>
      <c r="Y417" s="75" t="s">
        <v>76</v>
      </c>
      <c r="Z417" s="9">
        <v>26.55599942118182</v>
      </c>
      <c r="AA417" s="70" t="s">
        <v>138</v>
      </c>
      <c r="AB417" s="70" t="s">
        <v>76</v>
      </c>
      <c r="AC417" s="9">
        <v>14.505523506333333</v>
      </c>
      <c r="AD417" s="58" t="s">
        <v>53</v>
      </c>
      <c r="AE417" s="75" t="s">
        <v>76</v>
      </c>
      <c r="AF417" s="9">
        <v>14.361845345413792</v>
      </c>
      <c r="AG417" s="55" t="s">
        <v>53</v>
      </c>
      <c r="AH417" s="70" t="s">
        <v>1525</v>
      </c>
      <c r="AI417" s="9">
        <v>12.689645695793477</v>
      </c>
      <c r="AJ417" s="55" t="s">
        <v>53</v>
      </c>
      <c r="AK417" s="58" t="s">
        <v>201</v>
      </c>
      <c r="AL417" s="9">
        <v>12.539544427946526</v>
      </c>
      <c r="AM417" s="70" t="s">
        <v>138</v>
      </c>
      <c r="AN417" s="70" t="s">
        <v>1525</v>
      </c>
      <c r="AO417" s="9">
        <v>12.498240927506494</v>
      </c>
      <c r="AP417" s="60"/>
      <c r="AQ417" s="55" t="s">
        <v>53</v>
      </c>
      <c r="AR417" s="9">
        <v>10.597877501446002</v>
      </c>
      <c r="AS417" s="70" t="s">
        <v>138</v>
      </c>
      <c r="AT417" s="9">
        <v>3.6992925004820005</v>
      </c>
      <c r="AU417" s="75" t="s">
        <v>138</v>
      </c>
      <c r="AV417" s="9">
        <v>3</v>
      </c>
      <c r="AW417" s="70" t="s">
        <v>76</v>
      </c>
      <c r="AX417" s="9">
        <v>96.978775014460012</v>
      </c>
      <c r="AY417" s="75" t="s">
        <v>76</v>
      </c>
      <c r="AZ417" s="9">
        <v>1.7632504548083638</v>
      </c>
      <c r="BA417" s="75" t="s">
        <v>138</v>
      </c>
      <c r="BB417" s="75" t="s">
        <v>76</v>
      </c>
      <c r="BC417" s="9">
        <v>8.5240933201705182</v>
      </c>
      <c r="BD417" s="58" t="s">
        <v>53</v>
      </c>
      <c r="BE417" s="75" t="s">
        <v>76</v>
      </c>
      <c r="BF417" s="9">
        <v>7.3356667888415714</v>
      </c>
      <c r="BG417" s="75" t="s">
        <v>138</v>
      </c>
      <c r="BH417" s="70" t="s">
        <v>1525</v>
      </c>
      <c r="BI417" s="9">
        <v>6.8692868544039669</v>
      </c>
      <c r="BJ417" s="70" t="s">
        <v>138</v>
      </c>
      <c r="BK417" s="58" t="s">
        <v>201</v>
      </c>
      <c r="BL417" s="9">
        <v>6.4870558148502333</v>
      </c>
      <c r="BM417" s="55" t="s">
        <v>53</v>
      </c>
      <c r="BN417" s="75" t="s">
        <v>1525</v>
      </c>
      <c r="BO417" s="9">
        <v>6.0336291432965714</v>
      </c>
    </row>
    <row r="418" spans="1:67" x14ac:dyDescent="0.45">
      <c r="A418" s="10">
        <v>392</v>
      </c>
      <c r="B418" s="10" t="s">
        <v>217</v>
      </c>
      <c r="C418" s="58" t="s">
        <v>2160</v>
      </c>
      <c r="D418" s="65"/>
      <c r="E418" s="80" t="s">
        <v>2316</v>
      </c>
      <c r="F418" s="59" t="s">
        <v>2317</v>
      </c>
      <c r="G418" s="289" t="s">
        <v>1887</v>
      </c>
      <c r="H418" s="10"/>
      <c r="I418" s="62">
        <v>187.30110237000002</v>
      </c>
      <c r="J418" s="62">
        <v>131.18980166</v>
      </c>
      <c r="K418" s="62">
        <v>156.47940198000001</v>
      </c>
      <c r="L418" s="49">
        <v>2683.607271874349</v>
      </c>
      <c r="M418" s="49">
        <v>2454.3230403568537</v>
      </c>
      <c r="N418" s="49">
        <v>2285.0827713671451</v>
      </c>
      <c r="O418" s="61">
        <v>18.147707554918206</v>
      </c>
      <c r="P418" s="60"/>
      <c r="Q418" s="55" t="s">
        <v>53</v>
      </c>
      <c r="R418" s="9">
        <v>17.857099213300003</v>
      </c>
      <c r="S418" s="70" t="s">
        <v>36</v>
      </c>
      <c r="T418" s="9">
        <v>15.212084180981819</v>
      </c>
      <c r="U418" s="70" t="s">
        <v>36</v>
      </c>
      <c r="V418" s="9">
        <v>9.0909999999999993</v>
      </c>
      <c r="W418" s="79" t="s">
        <v>9</v>
      </c>
      <c r="X418" s="9">
        <v>169.57099213300003</v>
      </c>
      <c r="Y418" s="58" t="s">
        <v>216</v>
      </c>
      <c r="Z418" s="9">
        <v>49.295939748695666</v>
      </c>
      <c r="AA418" s="70" t="s">
        <v>36</v>
      </c>
      <c r="AB418" s="70" t="s">
        <v>1563</v>
      </c>
      <c r="AC418" s="9">
        <v>23.668771654500002</v>
      </c>
      <c r="AD418" s="58" t="s">
        <v>53</v>
      </c>
      <c r="AE418" s="75" t="s">
        <v>1563</v>
      </c>
      <c r="AF418" s="9">
        <v>21.826961594969386</v>
      </c>
      <c r="AG418" s="70" t="s">
        <v>36</v>
      </c>
      <c r="AH418" s="70" t="s">
        <v>76</v>
      </c>
      <c r="AI418" s="9">
        <v>21.212068310493507</v>
      </c>
      <c r="AJ418" s="70" t="s">
        <v>36</v>
      </c>
      <c r="AK418" s="79" t="s">
        <v>9</v>
      </c>
      <c r="AL418" s="9">
        <v>21.188925668163524</v>
      </c>
      <c r="AM418" s="70" t="s">
        <v>36</v>
      </c>
      <c r="AN418" s="55" t="s">
        <v>216</v>
      </c>
      <c r="AO418" s="9">
        <v>21.106284767879703</v>
      </c>
      <c r="AP418" s="60"/>
      <c r="AQ418" s="55" t="s">
        <v>2508</v>
      </c>
      <c r="AR418" s="9">
        <v>14.148537386374002</v>
      </c>
      <c r="AS418" s="55" t="s">
        <v>2508</v>
      </c>
      <c r="AT418" s="9">
        <v>4.7161791287913344</v>
      </c>
      <c r="AU418" s="75" t="s">
        <v>36</v>
      </c>
      <c r="AV418" s="9">
        <v>3.3333333333333002</v>
      </c>
      <c r="AW418" s="72" t="s">
        <v>9</v>
      </c>
      <c r="AX418" s="9">
        <v>183.61857481075003</v>
      </c>
      <c r="AY418" s="58" t="s">
        <v>216</v>
      </c>
      <c r="AZ418" s="9">
        <v>3.2687746633022225</v>
      </c>
      <c r="BA418" s="75" t="s">
        <v>36</v>
      </c>
      <c r="BB418" s="58" t="s">
        <v>216</v>
      </c>
      <c r="BC418" s="9">
        <v>14.53539848877814</v>
      </c>
      <c r="BD418" s="75" t="s">
        <v>36</v>
      </c>
      <c r="BE418" s="75" t="s">
        <v>1563</v>
      </c>
      <c r="BF418" s="9">
        <v>14.527939547833128</v>
      </c>
      <c r="BG418" s="75" t="s">
        <v>36</v>
      </c>
      <c r="BH418" s="70" t="s">
        <v>76</v>
      </c>
      <c r="BI418" s="9">
        <v>12.017275970788402</v>
      </c>
      <c r="BJ418" s="70" t="s">
        <v>36</v>
      </c>
      <c r="BK418" s="79" t="s">
        <v>9</v>
      </c>
      <c r="BL418" s="9">
        <v>11.872274956069681</v>
      </c>
      <c r="BM418" s="55" t="s">
        <v>53</v>
      </c>
      <c r="BN418" s="58" t="s">
        <v>216</v>
      </c>
      <c r="BO418" s="9">
        <v>11.734846488218523</v>
      </c>
    </row>
    <row r="419" spans="1:67" x14ac:dyDescent="0.45">
      <c r="A419" s="10">
        <v>393</v>
      </c>
      <c r="B419" s="10" t="s">
        <v>699</v>
      </c>
      <c r="C419" s="288" t="s">
        <v>1993</v>
      </c>
      <c r="D419" s="65"/>
      <c r="E419" s="290" t="s">
        <v>2201</v>
      </c>
      <c r="F419" s="59" t="s">
        <v>2202</v>
      </c>
      <c r="G419" s="242"/>
      <c r="H419" s="10"/>
      <c r="I419" s="62">
        <v>100.36810127000001</v>
      </c>
      <c r="J419" s="62">
        <v>92.465101170000011</v>
      </c>
      <c r="K419" s="62">
        <v>124.07710157000001</v>
      </c>
      <c r="L419" s="49">
        <v>1075.0544294236529</v>
      </c>
      <c r="M419" s="49">
        <v>1098.6097903255177</v>
      </c>
      <c r="N419" s="49">
        <v>1117.8251447858979</v>
      </c>
      <c r="O419" s="61">
        <v>10.50175583390569</v>
      </c>
      <c r="P419" s="60"/>
      <c r="Q419" s="73" t="s">
        <v>214</v>
      </c>
      <c r="R419" s="9">
        <v>8.2265032914400003</v>
      </c>
      <c r="S419" s="15" t="s">
        <v>288</v>
      </c>
      <c r="T419" s="9">
        <v>7.5214725740833339</v>
      </c>
      <c r="U419" s="73" t="s">
        <v>214</v>
      </c>
      <c r="V419" s="9">
        <v>11.667</v>
      </c>
      <c r="W419" s="291" t="s">
        <v>2431</v>
      </c>
      <c r="X419" s="9">
        <v>31.110430381000004</v>
      </c>
      <c r="Y419" s="288" t="s">
        <v>1524</v>
      </c>
      <c r="Z419" s="9">
        <v>14.789151233105265</v>
      </c>
      <c r="AA419" s="15" t="s">
        <v>288</v>
      </c>
      <c r="AB419" s="73" t="s">
        <v>1524</v>
      </c>
      <c r="AC419" s="9">
        <v>10.16005654583015</v>
      </c>
      <c r="AD419" s="288" t="s">
        <v>214</v>
      </c>
      <c r="AE419" s="288" t="s">
        <v>1524</v>
      </c>
      <c r="AF419" s="9">
        <v>10.024147134863863</v>
      </c>
      <c r="AG419" s="15" t="s">
        <v>288</v>
      </c>
      <c r="AH419" s="16" t="s">
        <v>146</v>
      </c>
      <c r="AI419" s="9">
        <v>9.9731370937179502</v>
      </c>
      <c r="AJ419" s="73" t="s">
        <v>214</v>
      </c>
      <c r="AK419" s="287" t="s">
        <v>146</v>
      </c>
      <c r="AL419" s="9">
        <v>9.8305097190489406</v>
      </c>
      <c r="AM419" s="15" t="s">
        <v>288</v>
      </c>
      <c r="AN419" s="74" t="s">
        <v>69</v>
      </c>
      <c r="AO419" s="9">
        <v>8.4696490896398675</v>
      </c>
      <c r="AP419" s="60"/>
      <c r="AQ419" s="73" t="s">
        <v>214</v>
      </c>
      <c r="AR419" s="9">
        <v>7.262969519248001</v>
      </c>
      <c r="AS419" s="73" t="s">
        <v>214</v>
      </c>
      <c r="AT419" s="9">
        <v>2.4209898397493337</v>
      </c>
      <c r="AU419" s="288" t="s">
        <v>214</v>
      </c>
      <c r="AV419" s="9">
        <v>3.6666666666666998</v>
      </c>
      <c r="AW419" s="74" t="s">
        <v>2509</v>
      </c>
      <c r="AX419" s="9">
        <v>40.143559495300003</v>
      </c>
      <c r="AY419" s="287" t="s">
        <v>146</v>
      </c>
      <c r="AZ419" s="9">
        <v>1.0035889873825001</v>
      </c>
      <c r="BA419" s="288" t="s">
        <v>214</v>
      </c>
      <c r="BB419" s="287" t="s">
        <v>146</v>
      </c>
      <c r="BC419" s="9">
        <v>5.5885338566276346</v>
      </c>
      <c r="BD419" s="288" t="s">
        <v>214</v>
      </c>
      <c r="BE419" s="291" t="s">
        <v>69</v>
      </c>
      <c r="BF419" s="9">
        <v>5.2631012521538354</v>
      </c>
      <c r="BG419" s="288" t="s">
        <v>214</v>
      </c>
      <c r="BH419" s="73" t="s">
        <v>1524</v>
      </c>
      <c r="BI419" s="9">
        <v>3.9451019694203824</v>
      </c>
      <c r="BJ419" s="15" t="s">
        <v>288</v>
      </c>
      <c r="BK419" s="287" t="s">
        <v>146</v>
      </c>
      <c r="BL419" s="9">
        <v>3.9411044003833333</v>
      </c>
      <c r="BM419" s="15" t="s">
        <v>288</v>
      </c>
      <c r="BN419" s="291" t="s">
        <v>69</v>
      </c>
      <c r="BO419" s="9">
        <v>3.7485381498784576</v>
      </c>
    </row>
    <row r="420" spans="1:67" x14ac:dyDescent="0.45">
      <c r="A420" s="10">
        <v>394</v>
      </c>
      <c r="B420" s="10" t="s">
        <v>696</v>
      </c>
      <c r="C420" s="288" t="s">
        <v>1993</v>
      </c>
      <c r="D420" s="65"/>
      <c r="E420" s="290" t="s">
        <v>2201</v>
      </c>
      <c r="F420" s="59" t="s">
        <v>2202</v>
      </c>
      <c r="G420" s="242"/>
      <c r="H420" s="10"/>
      <c r="I420" s="62">
        <v>130.39950165000002</v>
      </c>
      <c r="J420" s="62">
        <v>121.70620154000001</v>
      </c>
      <c r="K420" s="62">
        <v>139.88310177</v>
      </c>
      <c r="L420" s="49">
        <v>1701.433238233484</v>
      </c>
      <c r="M420" s="49">
        <v>1701.7767886505535</v>
      </c>
      <c r="N420" s="49">
        <v>1702.0516789292894</v>
      </c>
      <c r="O420" s="61">
        <v>15.177451058652148</v>
      </c>
      <c r="P420" s="60"/>
      <c r="Q420" s="73" t="s">
        <v>214</v>
      </c>
      <c r="R420" s="9">
        <v>10.388764118800001</v>
      </c>
      <c r="S420" s="53" t="s">
        <v>56</v>
      </c>
      <c r="T420" s="9">
        <v>8.8799715228571454</v>
      </c>
      <c r="U420" s="73" t="s">
        <v>214</v>
      </c>
      <c r="V420" s="9">
        <v>11.667</v>
      </c>
      <c r="W420" s="288" t="s">
        <v>197</v>
      </c>
      <c r="X420" s="9">
        <v>102.71161128700001</v>
      </c>
      <c r="Y420" s="288" t="s">
        <v>197</v>
      </c>
      <c r="Z420" s="9">
        <v>31.124730693030308</v>
      </c>
      <c r="AA420" s="73" t="s">
        <v>214</v>
      </c>
      <c r="AB420" s="73" t="s">
        <v>197</v>
      </c>
      <c r="AC420" s="9">
        <v>14.404784824604654</v>
      </c>
      <c r="AD420" s="59" t="s">
        <v>56</v>
      </c>
      <c r="AE420" s="288" t="s">
        <v>197</v>
      </c>
      <c r="AF420" s="9">
        <v>14.199370454855076</v>
      </c>
      <c r="AG420" s="73" t="s">
        <v>214</v>
      </c>
      <c r="AH420" s="73" t="s">
        <v>1524</v>
      </c>
      <c r="AI420" s="9">
        <v>12.810844647602606</v>
      </c>
      <c r="AJ420" s="53" t="s">
        <v>56</v>
      </c>
      <c r="AK420" s="288" t="s">
        <v>1524</v>
      </c>
      <c r="AL420" s="9">
        <v>12.574733220705188</v>
      </c>
      <c r="AM420" s="73" t="s">
        <v>214</v>
      </c>
      <c r="AN420" s="74" t="s">
        <v>69</v>
      </c>
      <c r="AO420" s="9">
        <v>10.533295176604799</v>
      </c>
      <c r="AP420" s="60"/>
      <c r="AQ420" s="73" t="s">
        <v>214</v>
      </c>
      <c r="AR420" s="9">
        <v>9.1369289029600012</v>
      </c>
      <c r="AS420" s="73" t="s">
        <v>214</v>
      </c>
      <c r="AT420" s="9">
        <v>3.0456429676533339</v>
      </c>
      <c r="AU420" s="288" t="s">
        <v>214</v>
      </c>
      <c r="AV420" s="9">
        <v>3.6666666666666998</v>
      </c>
      <c r="AW420" s="73" t="s">
        <v>197</v>
      </c>
      <c r="AX420" s="9">
        <v>133.22509467310002</v>
      </c>
      <c r="AY420" s="288" t="s">
        <v>197</v>
      </c>
      <c r="AZ420" s="9">
        <v>1.7763345956413337</v>
      </c>
      <c r="BA420" s="288" t="s">
        <v>214</v>
      </c>
      <c r="BB420" s="288" t="s">
        <v>197</v>
      </c>
      <c r="BC420" s="9">
        <v>9.1133292759580531</v>
      </c>
      <c r="BD420" s="59" t="s">
        <v>56</v>
      </c>
      <c r="BE420" s="288" t="s">
        <v>197</v>
      </c>
      <c r="BF420" s="9">
        <v>7.6423035468620206</v>
      </c>
      <c r="BG420" s="288" t="s">
        <v>214</v>
      </c>
      <c r="BH420" s="74" t="s">
        <v>69</v>
      </c>
      <c r="BI420" s="9">
        <v>6.7231209774773983</v>
      </c>
      <c r="BJ420" s="53" t="s">
        <v>56</v>
      </c>
      <c r="BK420" s="291" t="s">
        <v>69</v>
      </c>
      <c r="BL420" s="9">
        <v>5.6962927606679701</v>
      </c>
      <c r="BM420" s="73" t="s">
        <v>214</v>
      </c>
      <c r="BN420" s="288" t="s">
        <v>1524</v>
      </c>
      <c r="BO420" s="9">
        <v>5.0090388332645048</v>
      </c>
    </row>
    <row r="421" spans="1:67" x14ac:dyDescent="0.45">
      <c r="A421" s="10">
        <v>395</v>
      </c>
      <c r="B421" s="10" t="s">
        <v>693</v>
      </c>
      <c r="C421" s="59" t="s">
        <v>2180</v>
      </c>
      <c r="D421" s="65"/>
      <c r="E421" s="58" t="s">
        <v>2271</v>
      </c>
      <c r="F421" s="64" t="s">
        <v>2348</v>
      </c>
      <c r="G421" s="63" t="s">
        <v>2349</v>
      </c>
      <c r="H421" s="10"/>
      <c r="I421" s="62">
        <v>177.81750225000002</v>
      </c>
      <c r="J421" s="62">
        <v>158.85030201000001</v>
      </c>
      <c r="K421" s="62">
        <v>167.54360212</v>
      </c>
      <c r="L421" s="49">
        <v>2900.8979568538948</v>
      </c>
      <c r="M421" s="49">
        <v>2818.7740575976031</v>
      </c>
      <c r="N421" s="49">
        <v>2754.7520618461285</v>
      </c>
      <c r="O421" s="61">
        <v>22.966168926601892</v>
      </c>
      <c r="P421" s="60"/>
      <c r="Q421" s="73" t="s">
        <v>206</v>
      </c>
      <c r="R421" s="9">
        <v>18.070480216</v>
      </c>
      <c r="S421" s="73" t="s">
        <v>206</v>
      </c>
      <c r="T421" s="9">
        <v>15.058733513333333</v>
      </c>
      <c r="U421" s="53" t="s">
        <v>56</v>
      </c>
      <c r="V421" s="9">
        <v>10</v>
      </c>
      <c r="W421" s="288" t="s">
        <v>197</v>
      </c>
      <c r="X421" s="9">
        <v>139.69765175500001</v>
      </c>
      <c r="Y421" s="288" t="s">
        <v>1564</v>
      </c>
      <c r="Z421" s="9">
        <v>51.063921692105275</v>
      </c>
      <c r="AA421" s="53" t="s">
        <v>56</v>
      </c>
      <c r="AB421" s="73" t="s">
        <v>1564</v>
      </c>
      <c r="AC421" s="9">
        <v>23.931928859316773</v>
      </c>
      <c r="AD421" s="288" t="s">
        <v>206</v>
      </c>
      <c r="AE421" s="288" t="s">
        <v>1564</v>
      </c>
      <c r="AF421" s="9">
        <v>22.336377932446808</v>
      </c>
      <c r="AG421" s="53" t="s">
        <v>56</v>
      </c>
      <c r="AH421" s="73" t="s">
        <v>197</v>
      </c>
      <c r="AI421" s="9">
        <v>20.487409664855075</v>
      </c>
      <c r="AJ421" s="73" t="s">
        <v>206</v>
      </c>
      <c r="AK421" s="288" t="s">
        <v>197</v>
      </c>
      <c r="AL421" s="9">
        <v>19.820840982169315</v>
      </c>
      <c r="AM421" s="53" t="s">
        <v>56</v>
      </c>
      <c r="AN421" s="74" t="s">
        <v>132</v>
      </c>
      <c r="AO421" s="9">
        <v>19.08896897665441</v>
      </c>
      <c r="AP421" s="60"/>
      <c r="AQ421" s="73" t="s">
        <v>206</v>
      </c>
      <c r="AR421" s="9">
        <v>17.643718210600003</v>
      </c>
      <c r="AS421" s="73" t="s">
        <v>206</v>
      </c>
      <c r="AT421" s="9">
        <v>5.8812394035333346</v>
      </c>
      <c r="AU421" s="59" t="s">
        <v>56</v>
      </c>
      <c r="AV421" s="9">
        <v>3</v>
      </c>
      <c r="AW421" s="73" t="s">
        <v>197</v>
      </c>
      <c r="AX421" s="9">
        <v>181.30694728150002</v>
      </c>
      <c r="AY421" s="288" t="s">
        <v>1564</v>
      </c>
      <c r="AZ421" s="9">
        <v>2.7989530351000003</v>
      </c>
      <c r="BA421" s="288" t="s">
        <v>206</v>
      </c>
      <c r="BB421" s="288" t="s">
        <v>1564</v>
      </c>
      <c r="BC421" s="9">
        <v>12.511044528562502</v>
      </c>
      <c r="BD421" s="288" t="s">
        <v>206</v>
      </c>
      <c r="BE421" s="288" t="s">
        <v>197</v>
      </c>
      <c r="BF421" s="9">
        <v>11.904439674021459</v>
      </c>
      <c r="BG421" s="288" t="s">
        <v>206</v>
      </c>
      <c r="BH421" s="53" t="s">
        <v>180</v>
      </c>
      <c r="BI421" s="9">
        <v>11.701384330704435</v>
      </c>
      <c r="BJ421" s="53" t="s">
        <v>56</v>
      </c>
      <c r="BK421" s="288" t="s">
        <v>1564</v>
      </c>
      <c r="BL421" s="9">
        <v>11.501674789930235</v>
      </c>
      <c r="BM421" s="73" t="s">
        <v>206</v>
      </c>
      <c r="BN421" s="291" t="s">
        <v>132</v>
      </c>
      <c r="BO421" s="9">
        <v>10.872640261824035</v>
      </c>
    </row>
    <row r="422" spans="1:67" x14ac:dyDescent="0.45">
      <c r="A422" s="10">
        <v>396</v>
      </c>
      <c r="B422" s="10" t="s">
        <v>690</v>
      </c>
      <c r="C422" s="64" t="s">
        <v>2110</v>
      </c>
      <c r="D422" s="65"/>
      <c r="E422" s="56" t="s">
        <v>2208</v>
      </c>
      <c r="F422" s="289" t="s">
        <v>2118</v>
      </c>
      <c r="G422" s="80" t="s">
        <v>2191</v>
      </c>
      <c r="H422" s="10"/>
      <c r="I422" s="62">
        <v>91.674801160000001</v>
      </c>
      <c r="J422" s="62">
        <v>57.69190073</v>
      </c>
      <c r="K422" s="62">
        <v>106.69050135000001</v>
      </c>
      <c r="L422" s="49">
        <v>719.23411427222572</v>
      </c>
      <c r="M422" s="49">
        <v>682.85273534876046</v>
      </c>
      <c r="N422" s="49">
        <v>655.07718401412899</v>
      </c>
      <c r="O422" s="61">
        <v>5.8194430802296377</v>
      </c>
      <c r="P422" s="60"/>
      <c r="Q422" s="15" t="s">
        <v>291</v>
      </c>
      <c r="R422" s="9">
        <v>5.4003904556800002</v>
      </c>
      <c r="S422" s="15" t="s">
        <v>127</v>
      </c>
      <c r="T422" s="9">
        <v>7.5004880696000003</v>
      </c>
      <c r="U422" s="15" t="s">
        <v>291</v>
      </c>
      <c r="V422" s="9">
        <v>12.5</v>
      </c>
      <c r="W422" s="287" t="s">
        <v>1517</v>
      </c>
      <c r="X422" s="9">
        <v>50.504392626399998</v>
      </c>
      <c r="Y422" s="287" t="s">
        <v>1517</v>
      </c>
      <c r="Z422" s="9">
        <v>25.252196313199999</v>
      </c>
      <c r="AA422" s="15" t="s">
        <v>127</v>
      </c>
      <c r="AB422" s="16" t="s">
        <v>1517</v>
      </c>
      <c r="AC422" s="9">
        <v>10.4591061102</v>
      </c>
      <c r="AD422" s="64" t="s">
        <v>291</v>
      </c>
      <c r="AE422" s="287" t="s">
        <v>1517</v>
      </c>
      <c r="AF422" s="9">
        <v>10.45082971832</v>
      </c>
      <c r="AG422" s="15" t="s">
        <v>127</v>
      </c>
      <c r="AH422" s="16" t="s">
        <v>203</v>
      </c>
      <c r="AI422" s="9">
        <v>9.8117984793255815</v>
      </c>
      <c r="AJ422" s="15" t="s">
        <v>291</v>
      </c>
      <c r="AK422" s="287" t="s">
        <v>203</v>
      </c>
      <c r="AL422" s="9">
        <v>9.7211814279736846</v>
      </c>
      <c r="AM422" s="73"/>
      <c r="AN422" s="74"/>
      <c r="AO422" s="9"/>
      <c r="AP422" s="60"/>
      <c r="AQ422" s="15" t="s">
        <v>291</v>
      </c>
      <c r="AR422" s="9">
        <v>4.5753172452399999</v>
      </c>
      <c r="AS422" s="15" t="s">
        <v>127</v>
      </c>
      <c r="AT422" s="9">
        <v>3.1451903471440001</v>
      </c>
      <c r="AU422" s="64" t="s">
        <v>291</v>
      </c>
      <c r="AV422" s="9">
        <v>3.5</v>
      </c>
      <c r="AW422" s="16" t="s">
        <v>1517</v>
      </c>
      <c r="AX422" s="9">
        <v>65.355710414320001</v>
      </c>
      <c r="AY422" s="287" t="s">
        <v>1517</v>
      </c>
      <c r="AZ422" s="9">
        <v>1.1882856438967273</v>
      </c>
      <c r="BA422" s="64" t="s">
        <v>291</v>
      </c>
      <c r="BB422" s="287" t="s">
        <v>1517</v>
      </c>
      <c r="BC422" s="9">
        <v>6.0609608665678625</v>
      </c>
      <c r="BD422" s="64" t="s">
        <v>127</v>
      </c>
      <c r="BE422" s="287" t="s">
        <v>1517</v>
      </c>
      <c r="BF422" s="9">
        <v>5.3280156126589473</v>
      </c>
      <c r="BG422" s="64" t="s">
        <v>291</v>
      </c>
      <c r="BH422" s="16" t="s">
        <v>203</v>
      </c>
      <c r="BI422" s="9">
        <v>5.0328732362812367</v>
      </c>
      <c r="BJ422" s="15" t="s">
        <v>127</v>
      </c>
      <c r="BK422" s="287" t="s">
        <v>203</v>
      </c>
      <c r="BL422" s="9">
        <v>4.727458404611915</v>
      </c>
      <c r="BM422" s="53"/>
      <c r="BN422" s="78"/>
      <c r="BO422" s="9"/>
    </row>
    <row r="423" spans="1:67" x14ac:dyDescent="0.45">
      <c r="A423" s="10">
        <v>397</v>
      </c>
      <c r="B423" s="10" t="s">
        <v>687</v>
      </c>
      <c r="C423" s="64" t="s">
        <v>2110</v>
      </c>
      <c r="D423" s="65"/>
      <c r="E423" s="56" t="s">
        <v>2208</v>
      </c>
      <c r="F423" s="289" t="s">
        <v>2118</v>
      </c>
      <c r="G423" s="80" t="s">
        <v>2191</v>
      </c>
      <c r="H423" s="10"/>
      <c r="I423" s="62">
        <v>124.07710157000001</v>
      </c>
      <c r="J423" s="62">
        <v>86.142701090000003</v>
      </c>
      <c r="K423" s="62">
        <v>127.23830161000001</v>
      </c>
      <c r="L423" s="49">
        <v>1299.0019836458255</v>
      </c>
      <c r="M423" s="49">
        <v>1227.4919682601244</v>
      </c>
      <c r="N423" s="49">
        <v>1173.1289033920214</v>
      </c>
      <c r="O423" s="61">
        <v>10.091354452587051</v>
      </c>
      <c r="P423" s="60"/>
      <c r="Q423" s="16" t="s">
        <v>2432</v>
      </c>
      <c r="R423" s="9">
        <v>6.9557008753600007</v>
      </c>
      <c r="S423" s="16" t="s">
        <v>2432</v>
      </c>
      <c r="T423" s="9">
        <v>8.6946260942000002</v>
      </c>
      <c r="U423" s="15" t="s">
        <v>291</v>
      </c>
      <c r="V423" s="9">
        <v>12.5</v>
      </c>
      <c r="W423" s="287" t="s">
        <v>1517</v>
      </c>
      <c r="X423" s="9">
        <v>68.001634847800005</v>
      </c>
      <c r="Y423" s="287" t="s">
        <v>1517</v>
      </c>
      <c r="Z423" s="9">
        <v>34.000817423900003</v>
      </c>
      <c r="AA423" s="15" t="s">
        <v>291</v>
      </c>
      <c r="AB423" s="16" t="s">
        <v>1517</v>
      </c>
      <c r="AC423" s="9">
        <v>13.75586436014</v>
      </c>
      <c r="AD423" s="287" t="s">
        <v>1505</v>
      </c>
      <c r="AE423" s="287" t="s">
        <v>1517</v>
      </c>
      <c r="AF423" s="9">
        <v>13.057762530355173</v>
      </c>
      <c r="AG423" s="15" t="s">
        <v>291</v>
      </c>
      <c r="AH423" s="16" t="s">
        <v>203</v>
      </c>
      <c r="AI423" s="9">
        <v>12.854824954467107</v>
      </c>
      <c r="AJ423" s="16" t="s">
        <v>1505</v>
      </c>
      <c r="AK423" s="287" t="s">
        <v>203</v>
      </c>
      <c r="AL423" s="9">
        <v>12.624979713568372</v>
      </c>
      <c r="AM423" s="15" t="s">
        <v>291</v>
      </c>
      <c r="AN423" s="70" t="s">
        <v>270</v>
      </c>
      <c r="AO423" s="9">
        <v>11.772148363577275</v>
      </c>
      <c r="AP423" s="60"/>
      <c r="AQ423" s="16" t="s">
        <v>2432</v>
      </c>
      <c r="AR423" s="9">
        <v>5.8390069612300008</v>
      </c>
      <c r="AS423" s="16" t="s">
        <v>2432</v>
      </c>
      <c r="AT423" s="9">
        <v>2.9195034806150004</v>
      </c>
      <c r="AU423" s="287" t="s">
        <v>2480</v>
      </c>
      <c r="AV423" s="9">
        <v>3.5</v>
      </c>
      <c r="AW423" s="16" t="s">
        <v>1517</v>
      </c>
      <c r="AX423" s="9">
        <v>88.10212530214001</v>
      </c>
      <c r="AY423" s="287" t="s">
        <v>1517</v>
      </c>
      <c r="AZ423" s="9">
        <v>1.6018568236752728</v>
      </c>
      <c r="BA423" s="287" t="s">
        <v>1505</v>
      </c>
      <c r="BB423" s="287" t="s">
        <v>1517</v>
      </c>
      <c r="BC423" s="9">
        <v>8.0158996579711985</v>
      </c>
      <c r="BD423" s="64" t="s">
        <v>291</v>
      </c>
      <c r="BE423" s="287" t="s">
        <v>1517</v>
      </c>
      <c r="BF423" s="9">
        <v>8.0158996579711985</v>
      </c>
      <c r="BG423" s="287" t="s">
        <v>1505</v>
      </c>
      <c r="BH423" s="16" t="s">
        <v>203</v>
      </c>
      <c r="BI423" s="9">
        <v>6.6222561780418561</v>
      </c>
      <c r="BJ423" s="15" t="s">
        <v>291</v>
      </c>
      <c r="BK423" s="287" t="s">
        <v>203</v>
      </c>
      <c r="BL423" s="9">
        <v>6.6222561780418561</v>
      </c>
      <c r="BM423" s="16" t="s">
        <v>1505</v>
      </c>
      <c r="BN423" s="75" t="s">
        <v>270</v>
      </c>
      <c r="BO423" s="9">
        <v>6.2499923161055744</v>
      </c>
    </row>
    <row r="424" spans="1:67" x14ac:dyDescent="0.45">
      <c r="A424" s="10">
        <v>398</v>
      </c>
      <c r="B424" s="10" t="s">
        <v>685</v>
      </c>
      <c r="C424" s="64" t="s">
        <v>2110</v>
      </c>
      <c r="D424" s="65"/>
      <c r="E424" s="56" t="s">
        <v>2208</v>
      </c>
      <c r="F424" s="289" t="s">
        <v>2118</v>
      </c>
      <c r="G424" s="80" t="s">
        <v>2191</v>
      </c>
      <c r="H424" s="10"/>
      <c r="I424" s="62">
        <v>196.78470249</v>
      </c>
      <c r="J424" s="62">
        <v>122.49650155</v>
      </c>
      <c r="K424" s="62">
        <v>168.33390213000001</v>
      </c>
      <c r="L424" s="49">
        <v>2825.7840716255287</v>
      </c>
      <c r="M424" s="49">
        <v>2544.0427642513828</v>
      </c>
      <c r="N424" s="49">
        <v>2339.0136431344772</v>
      </c>
      <c r="O424" s="61">
        <v>18.370047545548267</v>
      </c>
      <c r="P424" s="60"/>
      <c r="Q424" s="16" t="s">
        <v>2432</v>
      </c>
      <c r="R424" s="9">
        <v>10.445665719519999</v>
      </c>
      <c r="S424" s="16" t="s">
        <v>2432</v>
      </c>
      <c r="T424" s="9">
        <v>13.057082149399998</v>
      </c>
      <c r="U424" s="15" t="s">
        <v>291</v>
      </c>
      <c r="V424" s="9">
        <v>12.5</v>
      </c>
      <c r="W424" s="287" t="s">
        <v>1517</v>
      </c>
      <c r="X424" s="9">
        <v>107.2637393446</v>
      </c>
      <c r="Y424" s="287" t="s">
        <v>1517</v>
      </c>
      <c r="Z424" s="9">
        <v>53.631869672299999</v>
      </c>
      <c r="AA424" s="15" t="s">
        <v>291</v>
      </c>
      <c r="AB424" s="16" t="s">
        <v>1517</v>
      </c>
      <c r="AC424" s="9">
        <v>21.172039653980001</v>
      </c>
      <c r="AD424" s="287" t="s">
        <v>1505</v>
      </c>
      <c r="AE424" s="287" t="s">
        <v>1517</v>
      </c>
      <c r="AF424" s="9">
        <v>20.052735170589649</v>
      </c>
      <c r="AG424" s="15" t="s">
        <v>291</v>
      </c>
      <c r="AH424" s="55" t="s">
        <v>216</v>
      </c>
      <c r="AI424" s="9">
        <v>19.791165867980578</v>
      </c>
      <c r="AJ424" s="16" t="s">
        <v>1505</v>
      </c>
      <c r="AK424" s="58" t="s">
        <v>216</v>
      </c>
      <c r="AL424" s="9">
        <v>18.885742846994958</v>
      </c>
      <c r="AM424" s="15" t="s">
        <v>291</v>
      </c>
      <c r="AN424" s="70" t="s">
        <v>270</v>
      </c>
      <c r="AO424" s="9">
        <v>18.084490079813637</v>
      </c>
      <c r="AP424" s="60"/>
      <c r="AQ424" s="16" t="s">
        <v>2432</v>
      </c>
      <c r="AR424" s="9">
        <v>8.6746033971100012</v>
      </c>
      <c r="AS424" s="16" t="s">
        <v>2432</v>
      </c>
      <c r="AT424" s="9">
        <v>4.3373016985550006</v>
      </c>
      <c r="AU424" s="287" t="s">
        <v>2480</v>
      </c>
      <c r="AV424" s="9">
        <v>3.5</v>
      </c>
      <c r="AW424" s="16" t="s">
        <v>1517</v>
      </c>
      <c r="AX424" s="9">
        <v>139.14286114798</v>
      </c>
      <c r="AY424" s="58" t="s">
        <v>216</v>
      </c>
      <c r="AZ424" s="9">
        <v>2.8646679248555555</v>
      </c>
      <c r="BA424" s="287" t="s">
        <v>1505</v>
      </c>
      <c r="BB424" s="58" t="s">
        <v>216</v>
      </c>
      <c r="BC424" s="9">
        <v>13.327088136076803</v>
      </c>
      <c r="BD424" s="64" t="s">
        <v>291</v>
      </c>
      <c r="BE424" s="58" t="s">
        <v>216</v>
      </c>
      <c r="BF424" s="9">
        <v>13.327088136076803</v>
      </c>
      <c r="BG424" s="287" t="s">
        <v>1505</v>
      </c>
      <c r="BH424" s="16" t="s">
        <v>1517</v>
      </c>
      <c r="BI424" s="9">
        <v>12.402591580144529</v>
      </c>
      <c r="BJ424" s="15" t="s">
        <v>291</v>
      </c>
      <c r="BK424" s="287" t="s">
        <v>1517</v>
      </c>
      <c r="BL424" s="9">
        <v>12.402591580144529</v>
      </c>
      <c r="BM424" s="16" t="s">
        <v>1505</v>
      </c>
      <c r="BN424" s="75" t="s">
        <v>270</v>
      </c>
      <c r="BO424" s="9">
        <v>9.6063511547533462</v>
      </c>
    </row>
    <row r="425" spans="1:67" x14ac:dyDescent="0.45">
      <c r="A425" s="10">
        <v>399</v>
      </c>
      <c r="B425" s="10" t="s">
        <v>682</v>
      </c>
      <c r="C425" s="64" t="s">
        <v>1889</v>
      </c>
      <c r="D425" s="65"/>
      <c r="E425" s="58" t="s">
        <v>1903</v>
      </c>
      <c r="F425" s="77"/>
      <c r="G425" s="77" t="s">
        <v>1888</v>
      </c>
      <c r="H425" s="10"/>
      <c r="I425" s="62">
        <v>75.078500950000006</v>
      </c>
      <c r="J425" s="62">
        <v>69.546400880000007</v>
      </c>
      <c r="K425" s="62">
        <v>132.77040168000002</v>
      </c>
      <c r="L425" s="49">
        <v>721.44554691296082</v>
      </c>
      <c r="M425" s="49">
        <v>783.29919637523619</v>
      </c>
      <c r="N425" s="49">
        <v>836.57904134745627</v>
      </c>
      <c r="O425" s="61">
        <v>8.6332893763548846</v>
      </c>
      <c r="P425" s="60"/>
      <c r="Q425" s="15" t="s">
        <v>173</v>
      </c>
      <c r="R425" s="9">
        <v>4.6037680455999999</v>
      </c>
      <c r="S425" s="15" t="s">
        <v>127</v>
      </c>
      <c r="T425" s="9">
        <v>6.5047100570000005</v>
      </c>
      <c r="U425" s="15" t="s">
        <v>127</v>
      </c>
      <c r="V425" s="9">
        <v>10</v>
      </c>
      <c r="W425" s="64" t="s">
        <v>1493</v>
      </c>
      <c r="X425" s="9">
        <v>37.037680456000004</v>
      </c>
      <c r="Y425" s="64" t="s">
        <v>1493</v>
      </c>
      <c r="Z425" s="9">
        <v>14.815072182400002</v>
      </c>
      <c r="AA425" s="15" t="s">
        <v>127</v>
      </c>
      <c r="AB425" s="15" t="s">
        <v>1493</v>
      </c>
      <c r="AC425" s="9">
        <v>9.2748307654666675</v>
      </c>
      <c r="AD425" s="64" t="s">
        <v>127</v>
      </c>
      <c r="AE425" s="79" t="s">
        <v>23</v>
      </c>
      <c r="AF425" s="9">
        <v>8.8564310148026326</v>
      </c>
      <c r="AG425" s="15" t="s">
        <v>127</v>
      </c>
      <c r="AH425" s="67" t="s">
        <v>91</v>
      </c>
      <c r="AI425" s="9">
        <v>7.493853396301021</v>
      </c>
      <c r="AJ425" s="15" t="s">
        <v>173</v>
      </c>
      <c r="AK425" s="64" t="s">
        <v>1493</v>
      </c>
      <c r="AL425" s="9">
        <v>7.0654730216470591</v>
      </c>
      <c r="AM425" s="15" t="s">
        <v>173</v>
      </c>
      <c r="AN425" s="72" t="s">
        <v>23</v>
      </c>
      <c r="AO425" s="9">
        <v>6.7214146111046524</v>
      </c>
      <c r="AP425" s="60"/>
      <c r="AQ425" s="15" t="s">
        <v>173</v>
      </c>
      <c r="AR425" s="9">
        <v>3.9280615370500005</v>
      </c>
      <c r="AS425" s="15" t="s">
        <v>127</v>
      </c>
      <c r="AT425" s="9">
        <v>2.7568369222300002</v>
      </c>
      <c r="AU425" s="64" t="s">
        <v>173</v>
      </c>
      <c r="AV425" s="9">
        <v>2.6666666666666998</v>
      </c>
      <c r="AW425" s="15" t="s">
        <v>1493</v>
      </c>
      <c r="AX425" s="9">
        <v>47.848984592800008</v>
      </c>
      <c r="AY425" s="64" t="s">
        <v>1493</v>
      </c>
      <c r="AZ425" s="9">
        <v>0.95697969185600018</v>
      </c>
      <c r="BA425" s="64" t="s">
        <v>127</v>
      </c>
      <c r="BB425" s="64" t="s">
        <v>1493</v>
      </c>
      <c r="BC425" s="9">
        <v>4.491150294175001</v>
      </c>
      <c r="BD425" s="64" t="s">
        <v>127</v>
      </c>
      <c r="BE425" s="79" t="s">
        <v>23</v>
      </c>
      <c r="BF425" s="9">
        <v>4.3785325427500004</v>
      </c>
      <c r="BG425" s="64" t="s">
        <v>127</v>
      </c>
      <c r="BH425" s="67" t="s">
        <v>91</v>
      </c>
      <c r="BI425" s="9">
        <v>4.135725475847873</v>
      </c>
      <c r="BJ425" s="15" t="s">
        <v>173</v>
      </c>
      <c r="BK425" s="64" t="s">
        <v>1493</v>
      </c>
      <c r="BL425" s="9">
        <v>3.6657908455373422</v>
      </c>
      <c r="BM425" s="15" t="s">
        <v>173</v>
      </c>
      <c r="BN425" s="79" t="s">
        <v>23</v>
      </c>
      <c r="BO425" s="9">
        <v>3.5175345651803802</v>
      </c>
    </row>
    <row r="426" spans="1:67" x14ac:dyDescent="0.45">
      <c r="A426" s="10">
        <v>400</v>
      </c>
      <c r="B426" s="10" t="s">
        <v>681</v>
      </c>
      <c r="C426" s="64" t="s">
        <v>2181</v>
      </c>
      <c r="D426" s="65"/>
      <c r="E426" s="58" t="s">
        <v>2350</v>
      </c>
      <c r="F426" s="59" t="s">
        <v>2202</v>
      </c>
      <c r="G426" s="77" t="s">
        <v>1888</v>
      </c>
      <c r="H426" s="10"/>
      <c r="I426" s="62">
        <v>139.88310177</v>
      </c>
      <c r="J426" s="62">
        <v>105.90020134000001</v>
      </c>
      <c r="K426" s="62">
        <v>160.43090203</v>
      </c>
      <c r="L426" s="49">
        <v>1823.2980158776404</v>
      </c>
      <c r="M426" s="49">
        <v>1780.8747511714264</v>
      </c>
      <c r="N426" s="49">
        <v>1747.6479441706367</v>
      </c>
      <c r="O426" s="61">
        <v>15.362746842390241</v>
      </c>
      <c r="P426" s="60"/>
      <c r="Q426" s="15" t="s">
        <v>173</v>
      </c>
      <c r="R426" s="9">
        <v>7.71438888496</v>
      </c>
      <c r="S426" s="73" t="s">
        <v>121</v>
      </c>
      <c r="T426" s="9">
        <v>10.392986106199999</v>
      </c>
      <c r="U426" s="73" t="s">
        <v>121</v>
      </c>
      <c r="V426" s="9">
        <v>10</v>
      </c>
      <c r="W426" s="64" t="s">
        <v>112</v>
      </c>
      <c r="X426" s="9">
        <v>126.89479159299999</v>
      </c>
      <c r="Y426" s="64" t="s">
        <v>112</v>
      </c>
      <c r="Z426" s="9">
        <v>33.393366208684213</v>
      </c>
      <c r="AA426" s="73" t="s">
        <v>121</v>
      </c>
      <c r="AB426" s="15" t="s">
        <v>112</v>
      </c>
      <c r="AC426" s="9">
        <v>16.726424105434781</v>
      </c>
      <c r="AD426" s="288" t="s">
        <v>121</v>
      </c>
      <c r="AE426" s="288" t="s">
        <v>218</v>
      </c>
      <c r="AF426" s="9">
        <v>16.047662719597014</v>
      </c>
      <c r="AG426" s="73" t="s">
        <v>121</v>
      </c>
      <c r="AH426" s="15" t="s">
        <v>1493</v>
      </c>
      <c r="AI426" s="9">
        <v>16.014509250746663</v>
      </c>
      <c r="AJ426" s="15" t="s">
        <v>173</v>
      </c>
      <c r="AK426" s="64" t="s">
        <v>112</v>
      </c>
      <c r="AL426" s="9">
        <v>12.913840534341773</v>
      </c>
      <c r="AM426" s="15" t="s">
        <v>173</v>
      </c>
      <c r="AN426" s="15" t="s">
        <v>1493</v>
      </c>
      <c r="AO426" s="9">
        <v>12.554803914635292</v>
      </c>
      <c r="AP426" s="60"/>
      <c r="AQ426" s="15" t="s">
        <v>173</v>
      </c>
      <c r="AR426" s="9">
        <v>6.4554409690299996</v>
      </c>
      <c r="AS426" s="73" t="s">
        <v>121</v>
      </c>
      <c r="AT426" s="9">
        <v>4.2732645814180001</v>
      </c>
      <c r="AU426" s="288" t="s">
        <v>121</v>
      </c>
      <c r="AV426" s="9">
        <v>3</v>
      </c>
      <c r="AW426" s="15" t="s">
        <v>112</v>
      </c>
      <c r="AX426" s="9">
        <v>164.6632290709</v>
      </c>
      <c r="AY426" s="64" t="s">
        <v>112</v>
      </c>
      <c r="AZ426" s="9">
        <v>2.0582903633862499</v>
      </c>
      <c r="BA426" s="288" t="s">
        <v>121</v>
      </c>
      <c r="BB426" s="64" t="s">
        <v>112</v>
      </c>
      <c r="BC426" s="9">
        <v>10.070492213567952</v>
      </c>
      <c r="BD426" s="288" t="s">
        <v>121</v>
      </c>
      <c r="BE426" s="64" t="s">
        <v>1493</v>
      </c>
      <c r="BF426" s="9">
        <v>9.028762180836603</v>
      </c>
      <c r="BG426" s="288" t="s">
        <v>121</v>
      </c>
      <c r="BH426" s="73" t="s">
        <v>218</v>
      </c>
      <c r="BI426" s="9">
        <v>8.9928553732300003</v>
      </c>
      <c r="BJ426" s="15" t="s">
        <v>173</v>
      </c>
      <c r="BK426" s="64" t="s">
        <v>112</v>
      </c>
      <c r="BL426" s="9">
        <v>7.3941173793935482</v>
      </c>
      <c r="BM426" s="15" t="s">
        <v>173</v>
      </c>
      <c r="BN426" s="64" t="s">
        <v>1493</v>
      </c>
      <c r="BO426" s="9">
        <v>6.5130917246034166</v>
      </c>
    </row>
    <row r="427" spans="1:67" x14ac:dyDescent="0.45">
      <c r="A427" s="10">
        <v>401</v>
      </c>
      <c r="B427" s="10" t="s">
        <v>678</v>
      </c>
      <c r="C427" s="289" t="s">
        <v>1887</v>
      </c>
      <c r="D427" s="65"/>
      <c r="E427" s="287" t="s">
        <v>2203</v>
      </c>
      <c r="F427" s="58" t="s">
        <v>2204</v>
      </c>
      <c r="G427" s="242"/>
      <c r="H427" s="10"/>
      <c r="I427" s="62">
        <v>47.418000600000006</v>
      </c>
      <c r="J427" s="62">
        <v>70.336700890000003</v>
      </c>
      <c r="K427" s="62">
        <v>101.94870129</v>
      </c>
      <c r="L427" s="49">
        <v>401.53655047059027</v>
      </c>
      <c r="M427" s="49">
        <v>487.15962379672163</v>
      </c>
      <c r="N427" s="49">
        <v>568.62800976517087</v>
      </c>
      <c r="O427" s="61">
        <v>6.6995136229525905</v>
      </c>
      <c r="P427" s="60"/>
      <c r="Q427" s="69" t="s">
        <v>1523</v>
      </c>
      <c r="R427" s="9">
        <v>5.267620054</v>
      </c>
      <c r="S427" s="69" t="s">
        <v>38</v>
      </c>
      <c r="T427" s="9">
        <v>4.8450800360000006</v>
      </c>
      <c r="U427" s="69" t="s">
        <v>38</v>
      </c>
      <c r="V427" s="9">
        <v>12</v>
      </c>
      <c r="W427" s="64" t="s">
        <v>645</v>
      </c>
      <c r="X427" s="9">
        <v>9.2981501050000013</v>
      </c>
      <c r="Y427" s="64" t="s">
        <v>645</v>
      </c>
      <c r="Z427" s="9">
        <v>4.2264318659090909</v>
      </c>
      <c r="AA427" s="69" t="s">
        <v>38</v>
      </c>
      <c r="AB427" s="15" t="s">
        <v>645</v>
      </c>
      <c r="AC427" s="9">
        <v>4.571659639397323</v>
      </c>
      <c r="AD427" s="289" t="s">
        <v>1523</v>
      </c>
      <c r="AE427" s="64" t="s">
        <v>645</v>
      </c>
      <c r="AF427" s="9">
        <v>3.7958986350401611</v>
      </c>
      <c r="AG427" s="73"/>
      <c r="AH427" s="15"/>
      <c r="AI427" s="9"/>
      <c r="AJ427" s="15"/>
      <c r="AK427" s="78"/>
      <c r="AL427" s="9"/>
      <c r="AM427" s="15"/>
      <c r="AN427" s="15"/>
      <c r="AO427" s="9"/>
      <c r="AP427" s="60"/>
      <c r="AQ427" s="69" t="s">
        <v>1523</v>
      </c>
      <c r="AR427" s="9">
        <v>4.328743642120001</v>
      </c>
      <c r="AS427" s="69" t="s">
        <v>38</v>
      </c>
      <c r="AT427" s="9">
        <v>2.1095812140400003</v>
      </c>
      <c r="AU427" s="289" t="s">
        <v>38</v>
      </c>
      <c r="AV427" s="9">
        <v>3</v>
      </c>
      <c r="AW427" s="15" t="s">
        <v>645</v>
      </c>
      <c r="AX427" s="9">
        <v>11.787595136500002</v>
      </c>
      <c r="AY427" s="64" t="s">
        <v>645</v>
      </c>
      <c r="AZ427" s="9">
        <v>0.11787595136500002</v>
      </c>
      <c r="BA427" s="289" t="s">
        <v>38</v>
      </c>
      <c r="BB427" s="64" t="s">
        <v>645</v>
      </c>
      <c r="BC427" s="9">
        <v>2.3914651146941752</v>
      </c>
      <c r="BD427" s="289" t="s">
        <v>1523</v>
      </c>
      <c r="BE427" s="64" t="s">
        <v>645</v>
      </c>
      <c r="BF427" s="9">
        <v>1.7116075496883119</v>
      </c>
      <c r="BG427" s="78"/>
      <c r="BH427" s="73"/>
      <c r="BI427" s="9"/>
      <c r="BJ427" s="15"/>
      <c r="BK427" s="76"/>
      <c r="BL427" s="9"/>
      <c r="BM427" s="15"/>
      <c r="BN427" s="78"/>
      <c r="BO427" s="9"/>
    </row>
    <row r="428" spans="1:67" x14ac:dyDescent="0.45">
      <c r="A428" s="10">
        <v>402</v>
      </c>
      <c r="B428" s="10" t="s">
        <v>676</v>
      </c>
      <c r="C428" s="289" t="s">
        <v>1887</v>
      </c>
      <c r="D428" s="65"/>
      <c r="E428" s="287" t="s">
        <v>2203</v>
      </c>
      <c r="F428" s="58" t="s">
        <v>2204</v>
      </c>
      <c r="G428" s="242"/>
      <c r="H428" s="10"/>
      <c r="I428" s="62">
        <v>138.30250175</v>
      </c>
      <c r="J428" s="62">
        <v>90.884501150000006</v>
      </c>
      <c r="K428" s="62">
        <v>157.26970199000002</v>
      </c>
      <c r="L428" s="49">
        <v>1653.4744252089135</v>
      </c>
      <c r="M428" s="49">
        <v>1575.1066019985465</v>
      </c>
      <c r="N428" s="49">
        <v>1515.0952190249436</v>
      </c>
      <c r="O428" s="61">
        <v>13.102558883458672</v>
      </c>
      <c r="P428" s="60"/>
      <c r="Q428" s="69" t="s">
        <v>1523</v>
      </c>
      <c r="R428" s="9">
        <v>13.4472251575</v>
      </c>
      <c r="S428" s="69" t="s">
        <v>1523</v>
      </c>
      <c r="T428" s="9">
        <v>8.9648167716666673</v>
      </c>
      <c r="U428" s="69" t="s">
        <v>27</v>
      </c>
      <c r="V428" s="9">
        <v>15</v>
      </c>
      <c r="W428" s="289" t="s">
        <v>126</v>
      </c>
      <c r="X428" s="9">
        <v>75.683350945000001</v>
      </c>
      <c r="Y428" s="289" t="s">
        <v>26</v>
      </c>
      <c r="Z428" s="9">
        <v>23.963547170312498</v>
      </c>
      <c r="AA428" s="69" t="s">
        <v>27</v>
      </c>
      <c r="AB428" s="69" t="s">
        <v>26</v>
      </c>
      <c r="AC428" s="9">
        <v>15.103120082194767</v>
      </c>
      <c r="AD428" s="289" t="s">
        <v>27</v>
      </c>
      <c r="AE428" s="289" t="s">
        <v>126</v>
      </c>
      <c r="AF428" s="9">
        <v>14.895079555568719</v>
      </c>
      <c r="AG428" s="69" t="s">
        <v>1523</v>
      </c>
      <c r="AH428" s="69" t="s">
        <v>126</v>
      </c>
      <c r="AI428" s="9">
        <v>13.851429287739462</v>
      </c>
      <c r="AJ428" s="69" t="s">
        <v>1523</v>
      </c>
      <c r="AK428" s="289" t="s">
        <v>26</v>
      </c>
      <c r="AL428" s="9">
        <v>13.82926987393018</v>
      </c>
      <c r="AM428" s="69" t="s">
        <v>27</v>
      </c>
      <c r="AN428" s="16" t="s">
        <v>203</v>
      </c>
      <c r="AO428" s="9">
        <v>12.638724601111779</v>
      </c>
      <c r="AP428" s="60"/>
      <c r="AQ428" s="69" t="s">
        <v>1523</v>
      </c>
      <c r="AR428" s="9">
        <v>10.708835622850001</v>
      </c>
      <c r="AS428" s="69" t="s">
        <v>1523</v>
      </c>
      <c r="AT428" s="9">
        <v>3.5696118742833338</v>
      </c>
      <c r="AU428" s="289" t="s">
        <v>27</v>
      </c>
      <c r="AV428" s="9">
        <v>4</v>
      </c>
      <c r="AW428" s="69" t="s">
        <v>126</v>
      </c>
      <c r="AX428" s="9">
        <v>98.088356228500004</v>
      </c>
      <c r="AY428" s="289" t="s">
        <v>126</v>
      </c>
      <c r="AZ428" s="9">
        <v>1.6348059371416668</v>
      </c>
      <c r="BA428" s="289" t="s">
        <v>27</v>
      </c>
      <c r="BB428" s="289" t="s">
        <v>126</v>
      </c>
      <c r="BC428" s="9">
        <v>9.0906963523749997</v>
      </c>
      <c r="BD428" s="289" t="s">
        <v>27</v>
      </c>
      <c r="BE428" s="289" t="s">
        <v>26</v>
      </c>
      <c r="BF428" s="9">
        <v>7.9151250875000008</v>
      </c>
      <c r="BG428" s="289" t="s">
        <v>1523</v>
      </c>
      <c r="BH428" s="69" t="s">
        <v>126</v>
      </c>
      <c r="BI428" s="9">
        <v>7.591686102122341</v>
      </c>
      <c r="BJ428" s="69" t="s">
        <v>27</v>
      </c>
      <c r="BK428" s="287" t="s">
        <v>203</v>
      </c>
      <c r="BL428" s="9">
        <v>7.0175700761428583</v>
      </c>
      <c r="BM428" s="69" t="s">
        <v>1523</v>
      </c>
      <c r="BN428" s="289" t="s">
        <v>26</v>
      </c>
      <c r="BO428" s="9">
        <v>6.8244484222455766</v>
      </c>
    </row>
    <row r="429" spans="1:67" x14ac:dyDescent="0.45">
      <c r="A429" s="10">
        <v>403</v>
      </c>
      <c r="B429" s="10" t="s">
        <v>673</v>
      </c>
      <c r="C429" s="290" t="s">
        <v>1992</v>
      </c>
      <c r="D429" s="65"/>
      <c r="E429" s="80" t="s">
        <v>1892</v>
      </c>
      <c r="F429" s="287" t="s">
        <v>2211</v>
      </c>
      <c r="G429" s="242"/>
      <c r="H429" s="10"/>
      <c r="I429" s="62">
        <v>104.31960132</v>
      </c>
      <c r="J429" s="62">
        <v>62.433700790000003</v>
      </c>
      <c r="K429" s="62">
        <v>113.01290143000001</v>
      </c>
      <c r="L429" s="49">
        <v>876.27308105443751</v>
      </c>
      <c r="M429" s="49">
        <v>815.22098058657843</v>
      </c>
      <c r="N429" s="49">
        <v>769.45646038827317</v>
      </c>
      <c r="O429" s="61">
        <v>6.6411802148631498</v>
      </c>
      <c r="P429" s="60"/>
      <c r="Q429" s="51" t="s">
        <v>6</v>
      </c>
      <c r="R429" s="9">
        <v>4.7555056475199997</v>
      </c>
      <c r="S429" s="15" t="s">
        <v>127</v>
      </c>
      <c r="T429" s="9">
        <v>7.2159800660000002</v>
      </c>
      <c r="U429" s="51" t="s">
        <v>6</v>
      </c>
      <c r="V429" s="9">
        <v>12.856999999999999</v>
      </c>
      <c r="W429" s="290" t="s">
        <v>182</v>
      </c>
      <c r="X429" s="9">
        <v>51.073408633600003</v>
      </c>
      <c r="Y429" s="290" t="s">
        <v>182</v>
      </c>
      <c r="Z429" s="9">
        <v>20.429363453440001</v>
      </c>
      <c r="AA429" s="51" t="s">
        <v>6</v>
      </c>
      <c r="AB429" s="51" t="s">
        <v>182</v>
      </c>
      <c r="AC429" s="9">
        <v>12.12932104484174</v>
      </c>
      <c r="AD429" s="290" t="s">
        <v>6</v>
      </c>
      <c r="AE429" s="290" t="s">
        <v>302</v>
      </c>
      <c r="AF429" s="9">
        <v>11.643897939284363</v>
      </c>
      <c r="AG429" s="15" t="s">
        <v>127</v>
      </c>
      <c r="AH429" s="51" t="s">
        <v>182</v>
      </c>
      <c r="AI429" s="9">
        <v>11.620441195146668</v>
      </c>
      <c r="AJ429" s="15" t="s">
        <v>127</v>
      </c>
      <c r="AK429" s="290" t="s">
        <v>302</v>
      </c>
      <c r="AL429" s="9">
        <v>11.269356240251426</v>
      </c>
      <c r="AM429" s="51" t="s">
        <v>6</v>
      </c>
      <c r="AN429" s="15" t="s">
        <v>120</v>
      </c>
      <c r="AO429" s="9">
        <v>8.7780432880398678</v>
      </c>
      <c r="AP429" s="60"/>
      <c r="AQ429" s="51" t="s">
        <v>6</v>
      </c>
      <c r="AR429" s="9">
        <v>4.2547715611840005</v>
      </c>
      <c r="AS429" s="15" t="s">
        <v>127</v>
      </c>
      <c r="AT429" s="9">
        <v>3.0342322257400003</v>
      </c>
      <c r="AU429" s="290" t="s">
        <v>6</v>
      </c>
      <c r="AV429" s="9">
        <v>4</v>
      </c>
      <c r="AW429" s="51" t="s">
        <v>182</v>
      </c>
      <c r="AX429" s="9">
        <v>74.232360126640003</v>
      </c>
      <c r="AY429" s="290" t="s">
        <v>182</v>
      </c>
      <c r="AZ429" s="9">
        <v>1.3496792750298183</v>
      </c>
      <c r="BA429" s="290" t="s">
        <v>6</v>
      </c>
      <c r="BB429" s="290" t="s">
        <v>182</v>
      </c>
      <c r="BC429" s="9">
        <v>7.0158586176122038</v>
      </c>
      <c r="BD429" s="290" t="s">
        <v>6</v>
      </c>
      <c r="BE429" s="290" t="s">
        <v>302</v>
      </c>
      <c r="BF429" s="9">
        <v>6.3529084000734697</v>
      </c>
      <c r="BG429" s="64" t="s">
        <v>127</v>
      </c>
      <c r="BH429" s="51" t="s">
        <v>182</v>
      </c>
      <c r="BI429" s="9">
        <v>5.5324121520873684</v>
      </c>
      <c r="BJ429" s="15" t="s">
        <v>127</v>
      </c>
      <c r="BK429" s="290" t="s">
        <v>302</v>
      </c>
      <c r="BL429" s="9">
        <v>5.1983090616336174</v>
      </c>
      <c r="BM429" s="51" t="s">
        <v>6</v>
      </c>
      <c r="BN429" s="64" t="s">
        <v>120</v>
      </c>
      <c r="BO429" s="9">
        <v>4.8092338303688145</v>
      </c>
    </row>
    <row r="430" spans="1:67" x14ac:dyDescent="0.45">
      <c r="A430" s="10">
        <v>404</v>
      </c>
      <c r="B430" s="10" t="s">
        <v>670</v>
      </c>
      <c r="C430" s="290" t="s">
        <v>1992</v>
      </c>
      <c r="D430" s="65"/>
      <c r="E430" s="80" t="s">
        <v>1892</v>
      </c>
      <c r="F430" s="287" t="s">
        <v>2211</v>
      </c>
      <c r="G430" s="242"/>
      <c r="H430" s="10"/>
      <c r="I430" s="62">
        <v>137.51220174000002</v>
      </c>
      <c r="J430" s="62">
        <v>86.933001100000013</v>
      </c>
      <c r="K430" s="62">
        <v>134.35100170000001</v>
      </c>
      <c r="L430" s="49">
        <v>1486.1205048168326</v>
      </c>
      <c r="M430" s="49">
        <v>1371.443366124932</v>
      </c>
      <c r="N430" s="49">
        <v>1286.1065777216386</v>
      </c>
      <c r="O430" s="61">
        <v>10.745405435985713</v>
      </c>
      <c r="P430" s="60"/>
      <c r="Q430" s="51" t="s">
        <v>6</v>
      </c>
      <c r="R430" s="9">
        <v>5.9504392626400007</v>
      </c>
      <c r="S430" s="67" t="s">
        <v>66</v>
      </c>
      <c r="T430" s="9">
        <v>10.250732104400001</v>
      </c>
      <c r="U430" s="51" t="s">
        <v>6</v>
      </c>
      <c r="V430" s="9">
        <v>12.856999999999999</v>
      </c>
      <c r="W430" s="290" t="s">
        <v>94</v>
      </c>
      <c r="X430" s="9">
        <v>75.256588939600007</v>
      </c>
      <c r="Y430" s="290" t="s">
        <v>94</v>
      </c>
      <c r="Z430" s="9">
        <v>28.944841899846157</v>
      </c>
      <c r="AA430" s="51" t="s">
        <v>6</v>
      </c>
      <c r="AB430" s="51" t="s">
        <v>94</v>
      </c>
      <c r="AC430" s="9">
        <v>16.692316157335618</v>
      </c>
      <c r="AD430" s="76" t="s">
        <v>66</v>
      </c>
      <c r="AE430" s="290" t="s">
        <v>94</v>
      </c>
      <c r="AF430" s="9">
        <v>15.742786959559325</v>
      </c>
      <c r="AG430" s="51" t="s">
        <v>6</v>
      </c>
      <c r="AH430" s="51" t="s">
        <v>182</v>
      </c>
      <c r="AI430" s="9">
        <v>15.662168254761744</v>
      </c>
      <c r="AJ430" s="67" t="s">
        <v>66</v>
      </c>
      <c r="AK430" s="290" t="s">
        <v>182</v>
      </c>
      <c r="AL430" s="9">
        <v>14.979763712880001</v>
      </c>
      <c r="AM430" s="67" t="s">
        <v>66</v>
      </c>
      <c r="AN430" s="67" t="s">
        <v>91</v>
      </c>
      <c r="AO430" s="9">
        <v>12.467057155294119</v>
      </c>
      <c r="AP430" s="60"/>
      <c r="AQ430" s="51" t="s">
        <v>6</v>
      </c>
      <c r="AR430" s="9">
        <v>5.2903806942880012</v>
      </c>
      <c r="AS430" s="67" t="s">
        <v>66</v>
      </c>
      <c r="AT430" s="9">
        <v>4.5753172452400008</v>
      </c>
      <c r="AU430" s="290" t="s">
        <v>6</v>
      </c>
      <c r="AV430" s="9">
        <v>4</v>
      </c>
      <c r="AW430" s="51" t="s">
        <v>2452</v>
      </c>
      <c r="AX430" s="9">
        <v>97.533565621480022</v>
      </c>
      <c r="AY430" s="290" t="s">
        <v>94</v>
      </c>
      <c r="AZ430" s="9">
        <v>1.9506713124296005</v>
      </c>
      <c r="BA430" s="290" t="s">
        <v>6</v>
      </c>
      <c r="BB430" s="290" t="s">
        <v>94</v>
      </c>
      <c r="BC430" s="9">
        <v>9.6739588859837067</v>
      </c>
      <c r="BD430" s="290" t="s">
        <v>6</v>
      </c>
      <c r="BE430" s="290" t="s">
        <v>182</v>
      </c>
      <c r="BF430" s="9">
        <v>9.0783005352345789</v>
      </c>
      <c r="BG430" s="76" t="s">
        <v>66</v>
      </c>
      <c r="BH430" s="51" t="s">
        <v>94</v>
      </c>
      <c r="BI430" s="9">
        <v>8.1506344904800017</v>
      </c>
      <c r="BJ430" s="67" t="s">
        <v>66</v>
      </c>
      <c r="BK430" s="290" t="s">
        <v>182</v>
      </c>
      <c r="BL430" s="9">
        <v>7.8370101707221069</v>
      </c>
      <c r="BM430" s="51" t="s">
        <v>6</v>
      </c>
      <c r="BN430" s="76" t="s">
        <v>91</v>
      </c>
      <c r="BO430" s="9">
        <v>7.6184851589444911</v>
      </c>
    </row>
    <row r="431" spans="1:67" x14ac:dyDescent="0.45">
      <c r="A431" s="10">
        <v>405</v>
      </c>
      <c r="B431" s="10" t="s">
        <v>135</v>
      </c>
      <c r="C431" s="290" t="s">
        <v>1992</v>
      </c>
      <c r="D431" s="65"/>
      <c r="E431" s="80" t="s">
        <v>1892</v>
      </c>
      <c r="F431" s="287" t="s">
        <v>2211</v>
      </c>
      <c r="G431" s="242"/>
      <c r="H431" s="10"/>
      <c r="I431" s="62">
        <v>195.20410247000001</v>
      </c>
      <c r="J431" s="62">
        <v>135.14130171000002</v>
      </c>
      <c r="K431" s="62">
        <v>162.01150205000002</v>
      </c>
      <c r="L431" s="49">
        <v>2888.39053947107</v>
      </c>
      <c r="M431" s="49">
        <v>2633.5925885341794</v>
      </c>
      <c r="N431" s="49">
        <v>2446.035373542948</v>
      </c>
      <c r="O431" s="61">
        <v>19.28785891769342</v>
      </c>
      <c r="P431" s="60"/>
      <c r="Q431" s="51" t="s">
        <v>1522</v>
      </c>
      <c r="R431" s="9">
        <v>18.568369222299999</v>
      </c>
      <c r="S431" s="51" t="s">
        <v>1522</v>
      </c>
      <c r="T431" s="9">
        <v>12.378912814866666</v>
      </c>
      <c r="U431" s="51" t="s">
        <v>6</v>
      </c>
      <c r="V431" s="9">
        <v>12.856999999999999</v>
      </c>
      <c r="W431" s="64" t="s">
        <v>112</v>
      </c>
      <c r="X431" s="9">
        <v>147.40307685250002</v>
      </c>
      <c r="Y431" s="290" t="s">
        <v>94</v>
      </c>
      <c r="Z431" s="9">
        <v>40.927005897615381</v>
      </c>
      <c r="AA431" s="51" t="s">
        <v>6</v>
      </c>
      <c r="AB431" s="51" t="s">
        <v>94</v>
      </c>
      <c r="AC431" s="9">
        <v>23.271563740585616</v>
      </c>
      <c r="AD431" s="76" t="s">
        <v>20</v>
      </c>
      <c r="AE431" s="290" t="s">
        <v>94</v>
      </c>
      <c r="AF431" s="9">
        <v>23.253340504192554</v>
      </c>
      <c r="AG431" s="51" t="s">
        <v>1522</v>
      </c>
      <c r="AH431" s="51" t="s">
        <v>94</v>
      </c>
      <c r="AI431" s="9">
        <v>22.14536571159649</v>
      </c>
      <c r="AJ431" s="71" t="s">
        <v>1518</v>
      </c>
      <c r="AK431" s="290" t="s">
        <v>94</v>
      </c>
      <c r="AL431" s="9">
        <v>20.861128195346492</v>
      </c>
      <c r="AM431" s="52" t="s">
        <v>1500</v>
      </c>
      <c r="AN431" s="51" t="s">
        <v>94</v>
      </c>
      <c r="AO431" s="9">
        <v>20.861128195346492</v>
      </c>
      <c r="AP431" s="60"/>
      <c r="AQ431" s="51" t="s">
        <v>1522</v>
      </c>
      <c r="AR431" s="9">
        <v>14.703327993394002</v>
      </c>
      <c r="AS431" s="51" t="s">
        <v>1522</v>
      </c>
      <c r="AT431" s="9">
        <v>4.9011093311313338</v>
      </c>
      <c r="AU431" s="76" t="s">
        <v>20</v>
      </c>
      <c r="AV431" s="9">
        <v>4.3333333333333002</v>
      </c>
      <c r="AW431" s="15" t="s">
        <v>112</v>
      </c>
      <c r="AX431" s="9">
        <v>191.32399990825002</v>
      </c>
      <c r="AY431" s="290" t="s">
        <v>94</v>
      </c>
      <c r="AZ431" s="9">
        <v>2.7606655986788002</v>
      </c>
      <c r="BA431" s="290" t="s">
        <v>6</v>
      </c>
      <c r="BB431" s="290" t="s">
        <v>94</v>
      </c>
      <c r="BC431" s="9">
        <v>13.507265178932593</v>
      </c>
      <c r="BD431" s="76" t="s">
        <v>20</v>
      </c>
      <c r="BE431" s="290" t="s">
        <v>94</v>
      </c>
      <c r="BF431" s="9">
        <v>13.261590832239081</v>
      </c>
      <c r="BG431" s="290" t="s">
        <v>6</v>
      </c>
      <c r="BH431" s="15" t="s">
        <v>112</v>
      </c>
      <c r="BI431" s="9">
        <v>12.487032375185239</v>
      </c>
      <c r="BJ431" s="67" t="s">
        <v>20</v>
      </c>
      <c r="BK431" s="64" t="s">
        <v>112</v>
      </c>
      <c r="BL431" s="9">
        <v>12.153133064147234</v>
      </c>
      <c r="BM431" s="51" t="s">
        <v>1522</v>
      </c>
      <c r="BN431" s="290" t="s">
        <v>94</v>
      </c>
      <c r="BO431" s="9">
        <v>11.641978728741899</v>
      </c>
    </row>
    <row r="432" spans="1:67" x14ac:dyDescent="0.45">
      <c r="A432" s="10">
        <v>406</v>
      </c>
      <c r="B432" s="10" t="s">
        <v>665</v>
      </c>
      <c r="C432" s="63" t="s">
        <v>2106</v>
      </c>
      <c r="D432" s="65"/>
      <c r="E432" s="287" t="s">
        <v>2196</v>
      </c>
      <c r="F432" s="58" t="s">
        <v>2197</v>
      </c>
      <c r="G432" s="79" t="s">
        <v>1983</v>
      </c>
      <c r="H432" s="10"/>
      <c r="I432" s="62">
        <v>83.771801060000001</v>
      </c>
      <c r="J432" s="62">
        <v>97.99720124000001</v>
      </c>
      <c r="K432" s="62">
        <v>106.69050135000001</v>
      </c>
      <c r="L432" s="49">
        <v>856.5792839987505</v>
      </c>
      <c r="M432" s="49">
        <v>915.42939578566768</v>
      </c>
      <c r="N432" s="49">
        <v>965.40753441993729</v>
      </c>
      <c r="O432" s="61">
        <v>9.5222196553733394</v>
      </c>
      <c r="P432" s="60"/>
      <c r="Q432" s="54" t="s">
        <v>2809</v>
      </c>
      <c r="R432" s="9">
        <v>8.5394620953999993</v>
      </c>
      <c r="S432" s="72" t="s">
        <v>64</v>
      </c>
      <c r="T432" s="9">
        <v>7.5342004826800002</v>
      </c>
      <c r="U432" s="71" t="s">
        <v>2808</v>
      </c>
      <c r="V432" s="9">
        <v>10</v>
      </c>
      <c r="W432" s="79" t="s">
        <v>2398</v>
      </c>
      <c r="X432" s="9">
        <v>46.2367725724</v>
      </c>
      <c r="Y432" s="79" t="s">
        <v>23</v>
      </c>
      <c r="Z432" s="9">
        <v>17.78337406630769</v>
      </c>
      <c r="AA432" s="72" t="s">
        <v>64</v>
      </c>
      <c r="AB432" s="72" t="s">
        <v>23</v>
      </c>
      <c r="AC432" s="9">
        <v>10.269317186815249</v>
      </c>
      <c r="AD432" s="63" t="s">
        <v>1521</v>
      </c>
      <c r="AE432" s="79" t="s">
        <v>23</v>
      </c>
      <c r="AF432" s="9">
        <v>9.8291639768070169</v>
      </c>
      <c r="AG432" s="72" t="s">
        <v>223</v>
      </c>
      <c r="AH432" s="72" t="s">
        <v>23</v>
      </c>
      <c r="AI432" s="9">
        <v>9.8291639768070169</v>
      </c>
      <c r="AJ432" s="71" t="s">
        <v>1518</v>
      </c>
      <c r="AK432" s="79" t="s">
        <v>23</v>
      </c>
      <c r="AL432" s="9">
        <v>9.2780337066754388</v>
      </c>
      <c r="AM432" s="52" t="s">
        <v>1500</v>
      </c>
      <c r="AN432" s="72" t="s">
        <v>23</v>
      </c>
      <c r="AO432" s="9">
        <v>9.2780337066754388</v>
      </c>
      <c r="AP432" s="60"/>
      <c r="AQ432" s="72" t="s">
        <v>64</v>
      </c>
      <c r="AR432" s="9">
        <v>8.187620530948001</v>
      </c>
      <c r="AS432" s="72" t="s">
        <v>64</v>
      </c>
      <c r="AT432" s="9">
        <v>4.0938102654740005</v>
      </c>
      <c r="AU432" s="80" t="s">
        <v>2474</v>
      </c>
      <c r="AV432" s="9">
        <v>2.6666666666666998</v>
      </c>
      <c r="AW432" s="72" t="s">
        <v>2397</v>
      </c>
      <c r="AX432" s="9">
        <v>59.807804344120001</v>
      </c>
      <c r="AY432" s="79" t="s">
        <v>23</v>
      </c>
      <c r="AZ432" s="9">
        <v>1.1961560868823999</v>
      </c>
      <c r="BA432" s="79" t="s">
        <v>64</v>
      </c>
      <c r="BB432" s="79" t="s">
        <v>23</v>
      </c>
      <c r="BC432" s="9">
        <v>6.2366561915757703</v>
      </c>
      <c r="BD432" s="79" t="s">
        <v>64</v>
      </c>
      <c r="BE432" s="79" t="s">
        <v>33</v>
      </c>
      <c r="BF432" s="9">
        <v>5.8910358809141936</v>
      </c>
      <c r="BG432" s="63" t="s">
        <v>1521</v>
      </c>
      <c r="BH432" s="72" t="s">
        <v>23</v>
      </c>
      <c r="BI432" s="9">
        <v>5.2057054207187337</v>
      </c>
      <c r="BJ432" s="72" t="s">
        <v>223</v>
      </c>
      <c r="BK432" s="79" t="s">
        <v>23</v>
      </c>
      <c r="BL432" s="9">
        <v>5.2057054207187337</v>
      </c>
      <c r="BM432" s="71" t="s">
        <v>1518</v>
      </c>
      <c r="BN432" s="79" t="s">
        <v>23</v>
      </c>
      <c r="BO432" s="9">
        <v>4.8955376762877219</v>
      </c>
    </row>
    <row r="433" spans="1:67" x14ac:dyDescent="0.45">
      <c r="A433" s="10">
        <v>407</v>
      </c>
      <c r="B433" s="10" t="s">
        <v>261</v>
      </c>
      <c r="C433" s="63" t="s">
        <v>2106</v>
      </c>
      <c r="D433" s="65"/>
      <c r="E433" s="287" t="s">
        <v>2196</v>
      </c>
      <c r="F433" s="58" t="s">
        <v>2197</v>
      </c>
      <c r="G433" s="79" t="s">
        <v>1983</v>
      </c>
      <c r="H433" s="10"/>
      <c r="I433" s="62">
        <v>203.89740258</v>
      </c>
      <c r="J433" s="62">
        <v>158.060002</v>
      </c>
      <c r="K433" s="62">
        <v>134.35100170000001</v>
      </c>
      <c r="L433" s="49">
        <v>2971.2769874418227</v>
      </c>
      <c r="M433" s="49">
        <v>2656.5401875508364</v>
      </c>
      <c r="N433" s="49">
        <v>2428.9299550030082</v>
      </c>
      <c r="O433" s="61">
        <v>18.337149681993772</v>
      </c>
      <c r="P433" s="60"/>
      <c r="Q433" s="72" t="s">
        <v>64</v>
      </c>
      <c r="R433" s="9">
        <v>16.903997401239998</v>
      </c>
      <c r="S433" s="72" t="s">
        <v>64</v>
      </c>
      <c r="T433" s="9">
        <v>16.903997401239998</v>
      </c>
      <c r="U433" s="54" t="s">
        <v>171</v>
      </c>
      <c r="V433" s="9">
        <v>8.75</v>
      </c>
      <c r="W433" s="79" t="s">
        <v>9</v>
      </c>
      <c r="X433" s="9">
        <v>221.20919478639999</v>
      </c>
      <c r="Y433" s="79" t="s">
        <v>9</v>
      </c>
      <c r="Z433" s="9">
        <v>45.144733629877543</v>
      </c>
      <c r="AA433" s="54" t="s">
        <v>171</v>
      </c>
      <c r="AB433" s="72" t="s">
        <v>9</v>
      </c>
      <c r="AC433" s="9">
        <v>24.835316988662719</v>
      </c>
      <c r="AD433" s="63" t="s">
        <v>171</v>
      </c>
      <c r="AE433" s="79" t="s">
        <v>23</v>
      </c>
      <c r="AF433" s="9">
        <v>24.732377826329895</v>
      </c>
      <c r="AG433" s="54" t="s">
        <v>171</v>
      </c>
      <c r="AH433" s="54" t="s">
        <v>124</v>
      </c>
      <c r="AI433" s="9">
        <v>24.131684142759358</v>
      </c>
      <c r="AJ433" s="72" t="s">
        <v>64</v>
      </c>
      <c r="AK433" s="79" t="s">
        <v>9</v>
      </c>
      <c r="AL433" s="9">
        <v>23.857746522864321</v>
      </c>
      <c r="AM433" s="72" t="s">
        <v>64</v>
      </c>
      <c r="AN433" s="72" t="s">
        <v>23</v>
      </c>
      <c r="AO433" s="9">
        <v>23.796657651237535</v>
      </c>
      <c r="AP433" s="60"/>
      <c r="AQ433" s="72" t="s">
        <v>64</v>
      </c>
      <c r="AR433" s="9">
        <v>18.494397141364001</v>
      </c>
      <c r="AS433" s="72" t="s">
        <v>64</v>
      </c>
      <c r="AT433" s="9">
        <v>9.2471985706820004</v>
      </c>
      <c r="AU433" s="63" t="s">
        <v>171</v>
      </c>
      <c r="AV433" s="9">
        <v>3.5</v>
      </c>
      <c r="AW433" s="72" t="s">
        <v>9</v>
      </c>
      <c r="AX433" s="9">
        <v>239.55996101860001</v>
      </c>
      <c r="AY433" s="79" t="s">
        <v>9</v>
      </c>
      <c r="AZ433" s="9">
        <v>2.9944995127325003</v>
      </c>
      <c r="BA433" s="63" t="s">
        <v>171</v>
      </c>
      <c r="BB433" s="79" t="s">
        <v>9</v>
      </c>
      <c r="BC433" s="9">
        <v>15.09168624185461</v>
      </c>
      <c r="BD433" s="79" t="s">
        <v>64</v>
      </c>
      <c r="BE433" s="79" t="s">
        <v>9</v>
      </c>
      <c r="BF433" s="9">
        <v>14.864583020631219</v>
      </c>
      <c r="BG433" s="79" t="s">
        <v>64</v>
      </c>
      <c r="BH433" s="72" t="s">
        <v>23</v>
      </c>
      <c r="BI433" s="9">
        <v>14.435228495315771</v>
      </c>
      <c r="BJ433" s="54" t="s">
        <v>171</v>
      </c>
      <c r="BK433" s="79" t="s">
        <v>23</v>
      </c>
      <c r="BL433" s="9">
        <v>14.355810825376821</v>
      </c>
      <c r="BM433" s="72" t="s">
        <v>64</v>
      </c>
      <c r="BN433" s="63" t="s">
        <v>124</v>
      </c>
      <c r="BO433" s="9">
        <v>13.82353628757577</v>
      </c>
    </row>
    <row r="434" spans="1:67" x14ac:dyDescent="0.45">
      <c r="A434" s="10">
        <v>408</v>
      </c>
      <c r="B434" s="10" t="s">
        <v>660</v>
      </c>
      <c r="C434" s="56" t="s">
        <v>2025</v>
      </c>
      <c r="D434" s="65"/>
      <c r="E434" s="58" t="s">
        <v>2289</v>
      </c>
      <c r="F434" s="64" t="s">
        <v>2290</v>
      </c>
      <c r="G434" s="242"/>
      <c r="H434" s="10"/>
      <c r="I434" s="62">
        <v>184.13990233000001</v>
      </c>
      <c r="J434" s="62">
        <v>67.965800860000002</v>
      </c>
      <c r="K434" s="62">
        <v>143.83460182000002</v>
      </c>
      <c r="L434" s="49">
        <v>1820.6430830608019</v>
      </c>
      <c r="M434" s="49">
        <v>1479.7936125206229</v>
      </c>
      <c r="N434" s="49">
        <v>1253.6670591379618</v>
      </c>
      <c r="O434" s="61">
        <v>9.153695648496738</v>
      </c>
      <c r="P434" s="60"/>
      <c r="Q434" s="57" t="s">
        <v>95</v>
      </c>
      <c r="R434" s="9">
        <v>12.048394139800001</v>
      </c>
      <c r="S434" s="57" t="s">
        <v>95</v>
      </c>
      <c r="T434" s="9">
        <v>10.953085581636364</v>
      </c>
      <c r="U434" s="57" t="s">
        <v>95</v>
      </c>
      <c r="V434" s="9">
        <v>9.0909999999999993</v>
      </c>
      <c r="W434" s="56" t="s">
        <v>2395</v>
      </c>
      <c r="X434" s="9">
        <v>78.338758978599998</v>
      </c>
      <c r="Y434" s="56" t="s">
        <v>1488</v>
      </c>
      <c r="Z434" s="9">
        <v>24.480862180812498</v>
      </c>
      <c r="AA434" s="57" t="s">
        <v>95</v>
      </c>
      <c r="AB434" s="52" t="s">
        <v>282</v>
      </c>
      <c r="AC434" s="9">
        <v>16.534893875990697</v>
      </c>
      <c r="AD434" s="242" t="s">
        <v>95</v>
      </c>
      <c r="AE434" s="56" t="s">
        <v>1488</v>
      </c>
      <c r="AF434" s="9">
        <v>15.928819503172413</v>
      </c>
      <c r="AG434" s="57" t="s">
        <v>95</v>
      </c>
      <c r="AH434" s="71" t="s">
        <v>1504</v>
      </c>
      <c r="AI434" s="9">
        <v>14.988659070111112</v>
      </c>
      <c r="AJ434" s="15" t="s">
        <v>173</v>
      </c>
      <c r="AK434" s="56" t="s">
        <v>282</v>
      </c>
      <c r="AL434" s="9">
        <v>14.163210571902223</v>
      </c>
      <c r="AM434" s="15" t="s">
        <v>173</v>
      </c>
      <c r="AN434" s="52" t="s">
        <v>1488</v>
      </c>
      <c r="AO434" s="9">
        <v>13.061602113543479</v>
      </c>
      <c r="AP434" s="60"/>
      <c r="AQ434" s="57" t="s">
        <v>95</v>
      </c>
      <c r="AR434" s="9">
        <v>10.57527492116</v>
      </c>
      <c r="AS434" s="57" t="s">
        <v>95</v>
      </c>
      <c r="AT434" s="9">
        <v>3.5250916403866666</v>
      </c>
      <c r="AU434" s="64" t="s">
        <v>173</v>
      </c>
      <c r="AV434" s="9">
        <v>2.6666666666666998</v>
      </c>
      <c r="AW434" s="52" t="s">
        <v>2394</v>
      </c>
      <c r="AX434" s="9">
        <v>101.54038667218001</v>
      </c>
      <c r="AY434" s="56" t="s">
        <v>282</v>
      </c>
      <c r="AZ434" s="9">
        <v>2.2564530371595555</v>
      </c>
      <c r="BA434" s="64" t="s">
        <v>173</v>
      </c>
      <c r="BB434" s="56" t="s">
        <v>282</v>
      </c>
      <c r="BC434" s="9">
        <v>7.8785153883570986</v>
      </c>
      <c r="BD434" s="242" t="s">
        <v>95</v>
      </c>
      <c r="BE434" s="56" t="s">
        <v>282</v>
      </c>
      <c r="BF434" s="9">
        <v>7.6959552587608515</v>
      </c>
      <c r="BG434" s="242" t="s">
        <v>95</v>
      </c>
      <c r="BH434" s="52" t="s">
        <v>1488</v>
      </c>
      <c r="BI434" s="9">
        <v>6.686875351089677</v>
      </c>
      <c r="BJ434" s="15" t="s">
        <v>173</v>
      </c>
      <c r="BK434" s="56" t="s">
        <v>1488</v>
      </c>
      <c r="BL434" s="9">
        <v>6.5499782070262764</v>
      </c>
      <c r="BM434" s="57" t="s">
        <v>95</v>
      </c>
      <c r="BN434" s="80" t="s">
        <v>1504</v>
      </c>
      <c r="BO434" s="9">
        <v>6.5324354330064516</v>
      </c>
    </row>
    <row r="435" spans="1:67" x14ac:dyDescent="0.45">
      <c r="A435" s="10">
        <v>409</v>
      </c>
      <c r="B435" s="10" t="s">
        <v>250</v>
      </c>
      <c r="C435" s="56" t="s">
        <v>2025</v>
      </c>
      <c r="D435" s="65"/>
      <c r="E435" s="58" t="s">
        <v>2289</v>
      </c>
      <c r="F435" s="64" t="s">
        <v>2290</v>
      </c>
      <c r="G435" s="242"/>
      <c r="H435" s="10"/>
      <c r="I435" s="62">
        <v>244.99300310000001</v>
      </c>
      <c r="J435" s="62">
        <v>97.99720124000001</v>
      </c>
      <c r="K435" s="62">
        <v>184.93020234000002</v>
      </c>
      <c r="L435" s="49">
        <v>3298.1047118806755</v>
      </c>
      <c r="M435" s="49">
        <v>2701.366226241294</v>
      </c>
      <c r="N435" s="49">
        <v>2302.7070280092726</v>
      </c>
      <c r="O435" s="61">
        <v>16.505180735980456</v>
      </c>
      <c r="P435" s="60"/>
      <c r="Q435" s="52" t="s">
        <v>249</v>
      </c>
      <c r="R435" s="9">
        <v>24.519328297600001</v>
      </c>
      <c r="S435" s="52" t="s">
        <v>249</v>
      </c>
      <c r="T435" s="9">
        <v>20.432773581333336</v>
      </c>
      <c r="U435" s="57" t="s">
        <v>95</v>
      </c>
      <c r="V435" s="9">
        <v>9.0909999999999993</v>
      </c>
      <c r="W435" s="78" t="s">
        <v>175</v>
      </c>
      <c r="X435" s="9">
        <v>135.74615170500002</v>
      </c>
      <c r="Y435" s="56" t="s">
        <v>40</v>
      </c>
      <c r="Z435" s="9">
        <v>43.924682032592592</v>
      </c>
      <c r="AA435" s="52" t="s">
        <v>249</v>
      </c>
      <c r="AB435" s="52" t="s">
        <v>40</v>
      </c>
      <c r="AC435" s="9">
        <v>26.651219936078434</v>
      </c>
      <c r="AD435" s="56" t="s">
        <v>249</v>
      </c>
      <c r="AE435" s="78" t="s">
        <v>175</v>
      </c>
      <c r="AF435" s="9">
        <v>25.350171365350878</v>
      </c>
      <c r="AG435" s="52" t="s">
        <v>249</v>
      </c>
      <c r="AH435" s="70" t="s">
        <v>76</v>
      </c>
      <c r="AI435" s="9">
        <v>24.741582777835053</v>
      </c>
      <c r="AJ435" s="57" t="s">
        <v>95</v>
      </c>
      <c r="AK435" s="56" t="s">
        <v>40</v>
      </c>
      <c r="AL435" s="9">
        <v>24.035919807073167</v>
      </c>
      <c r="AM435" s="57" t="s">
        <v>95</v>
      </c>
      <c r="AN435" s="66" t="s">
        <v>175</v>
      </c>
      <c r="AO435" s="9">
        <v>22.791920493085108</v>
      </c>
      <c r="AP435" s="60"/>
      <c r="AQ435" s="52" t="s">
        <v>249</v>
      </c>
      <c r="AR435" s="9">
        <v>23.931345090160001</v>
      </c>
      <c r="AS435" s="52" t="s">
        <v>249</v>
      </c>
      <c r="AT435" s="9">
        <v>7.9771150300533336</v>
      </c>
      <c r="AU435" s="56" t="s">
        <v>249</v>
      </c>
      <c r="AV435" s="9">
        <v>2.6666666666666998</v>
      </c>
      <c r="AW435" s="66" t="s">
        <v>175</v>
      </c>
      <c r="AX435" s="9">
        <v>176.16999721650001</v>
      </c>
      <c r="AY435" s="56" t="s">
        <v>40</v>
      </c>
      <c r="AZ435" s="9">
        <v>3.4194585318755557</v>
      </c>
      <c r="BA435" s="56" t="s">
        <v>249</v>
      </c>
      <c r="BB435" s="56" t="s">
        <v>40</v>
      </c>
      <c r="BC435" s="9">
        <v>16.13926993379301</v>
      </c>
      <c r="BD435" s="56" t="s">
        <v>249</v>
      </c>
      <c r="BE435" s="78" t="s">
        <v>175</v>
      </c>
      <c r="BF435" s="9">
        <v>15.134258952880852</v>
      </c>
      <c r="BG435" s="56" t="s">
        <v>249</v>
      </c>
      <c r="BH435" s="70" t="s">
        <v>76</v>
      </c>
      <c r="BI435" s="9">
        <v>14.282030257033528</v>
      </c>
      <c r="BJ435" s="57" t="s">
        <v>95</v>
      </c>
      <c r="BK435" s="56" t="s">
        <v>40</v>
      </c>
      <c r="BL435" s="9">
        <v>10.932889580570215</v>
      </c>
      <c r="BM435" s="57" t="s">
        <v>95</v>
      </c>
      <c r="BN435" s="78" t="s">
        <v>175</v>
      </c>
      <c r="BO435" s="9">
        <v>10.11504383317742</v>
      </c>
    </row>
    <row r="436" spans="1:67" x14ac:dyDescent="0.45">
      <c r="A436" s="10">
        <v>410</v>
      </c>
      <c r="B436" s="10" t="s">
        <v>655</v>
      </c>
      <c r="C436" s="56" t="s">
        <v>2169</v>
      </c>
      <c r="D436" s="58" t="s">
        <v>2286</v>
      </c>
      <c r="E436" s="288" t="s">
        <v>1993</v>
      </c>
      <c r="F436" s="289" t="s">
        <v>2329</v>
      </c>
      <c r="G436" s="64" t="s">
        <v>2110</v>
      </c>
      <c r="H436" s="63" t="s">
        <v>1971</v>
      </c>
      <c r="I436" s="62">
        <v>71.917300910000009</v>
      </c>
      <c r="J436" s="62">
        <v>165.96300210000001</v>
      </c>
      <c r="K436" s="62">
        <v>92.465101170000011</v>
      </c>
      <c r="L436" s="49">
        <v>890.89792092535424</v>
      </c>
      <c r="M436" s="49">
        <v>1067.9436573003395</v>
      </c>
      <c r="N436" s="49">
        <v>1234.595407086056</v>
      </c>
      <c r="O436" s="61">
        <v>13.161468890534554</v>
      </c>
      <c r="P436" s="60"/>
      <c r="Q436" s="53" t="s">
        <v>1</v>
      </c>
      <c r="R436" s="9">
        <v>7.4725570819000007</v>
      </c>
      <c r="S436" s="53" t="s">
        <v>1</v>
      </c>
      <c r="T436" s="9">
        <v>6.7932337108181819</v>
      </c>
      <c r="U436" s="15" t="s">
        <v>127</v>
      </c>
      <c r="V436" s="9">
        <v>10</v>
      </c>
      <c r="W436" s="56" t="s">
        <v>2433</v>
      </c>
      <c r="X436" s="9">
        <v>31.205266382200001</v>
      </c>
      <c r="Y436" s="59" t="s">
        <v>0</v>
      </c>
      <c r="Z436" s="9">
        <v>14.859650658190477</v>
      </c>
      <c r="AA436" s="53" t="s">
        <v>1</v>
      </c>
      <c r="AB436" s="53" t="s">
        <v>0</v>
      </c>
      <c r="AC436" s="9">
        <v>8.4944722922582478</v>
      </c>
      <c r="AD436" s="64" t="s">
        <v>127</v>
      </c>
      <c r="AE436" s="59" t="s">
        <v>0</v>
      </c>
      <c r="AF436" s="9">
        <v>8.335857973197184</v>
      </c>
      <c r="AG436" s="53" t="s">
        <v>1</v>
      </c>
      <c r="AH436" s="52" t="s">
        <v>1488</v>
      </c>
      <c r="AI436" s="9">
        <v>7.6494149711937975</v>
      </c>
      <c r="AJ436" s="53" t="s">
        <v>1</v>
      </c>
      <c r="AK436" s="56" t="s">
        <v>282</v>
      </c>
      <c r="AL436" s="9">
        <v>7.6434130910964582</v>
      </c>
      <c r="AM436" s="15" t="s">
        <v>127</v>
      </c>
      <c r="AN436" s="52" t="s">
        <v>282</v>
      </c>
      <c r="AO436" s="9">
        <v>7.2963146147121956</v>
      </c>
      <c r="AP436" s="60"/>
      <c r="AQ436" s="53" t="s">
        <v>1</v>
      </c>
      <c r="AR436" s="9">
        <v>6.0485945238820005</v>
      </c>
      <c r="AS436" s="15" t="s">
        <v>127</v>
      </c>
      <c r="AT436" s="9">
        <v>2.4023873677450003</v>
      </c>
      <c r="AU436" s="59" t="s">
        <v>2510</v>
      </c>
      <c r="AV436" s="9">
        <v>2</v>
      </c>
      <c r="AW436" s="52" t="s">
        <v>2511</v>
      </c>
      <c r="AX436" s="9">
        <v>40.26684629686001</v>
      </c>
      <c r="AY436" s="56" t="s">
        <v>282</v>
      </c>
      <c r="AZ436" s="9">
        <v>0.89481880659688906</v>
      </c>
      <c r="BA436" s="64" t="s">
        <v>127</v>
      </c>
      <c r="BB436" s="56" t="s">
        <v>282</v>
      </c>
      <c r="BC436" s="9">
        <v>4.0136409391967023</v>
      </c>
      <c r="BD436" s="64" t="s">
        <v>127</v>
      </c>
      <c r="BE436" s="59" t="s">
        <v>0</v>
      </c>
      <c r="BF436" s="9">
        <v>3.8587127111725006</v>
      </c>
      <c r="BG436" s="59" t="s">
        <v>1</v>
      </c>
      <c r="BH436" s="52" t="s">
        <v>282</v>
      </c>
      <c r="BI436" s="9">
        <v>3.643885328764894</v>
      </c>
      <c r="BJ436" s="15" t="s">
        <v>127</v>
      </c>
      <c r="BK436" s="56" t="s">
        <v>1488</v>
      </c>
      <c r="BL436" s="9">
        <v>3.6238215267487104</v>
      </c>
      <c r="BM436" s="53" t="s">
        <v>1</v>
      </c>
      <c r="BN436" s="59" t="s">
        <v>0</v>
      </c>
      <c r="BO436" s="9">
        <v>3.4873769485593593</v>
      </c>
    </row>
    <row r="437" spans="1:67" x14ac:dyDescent="0.45">
      <c r="A437" s="10">
        <v>411</v>
      </c>
      <c r="B437" s="10" t="s">
        <v>652</v>
      </c>
      <c r="C437" s="56" t="s">
        <v>2169</v>
      </c>
      <c r="D437" s="58" t="s">
        <v>2286</v>
      </c>
      <c r="E437" s="288" t="s">
        <v>1993</v>
      </c>
      <c r="F437" s="289" t="s">
        <v>2329</v>
      </c>
      <c r="G437" s="64" t="s">
        <v>2110</v>
      </c>
      <c r="H437" s="63" t="s">
        <v>1971</v>
      </c>
      <c r="I437" s="62">
        <v>86.142701090000003</v>
      </c>
      <c r="J437" s="62">
        <v>237.88030301000001</v>
      </c>
      <c r="K437" s="62">
        <v>134.35100170000001</v>
      </c>
      <c r="L437" s="49">
        <v>1539.9909948631196</v>
      </c>
      <c r="M437" s="49">
        <v>1964.3185510330645</v>
      </c>
      <c r="N437" s="49">
        <v>2386.5300525613366</v>
      </c>
      <c r="O437" s="61">
        <v>25.81788959431795</v>
      </c>
      <c r="P437" s="60"/>
      <c r="Q437" s="52" t="s">
        <v>249</v>
      </c>
      <c r="R437" s="9">
        <v>9.2696993046399996</v>
      </c>
      <c r="S437" s="53" t="s">
        <v>1</v>
      </c>
      <c r="T437" s="9">
        <v>7.9571300891818169</v>
      </c>
      <c r="U437" s="52" t="s">
        <v>249</v>
      </c>
      <c r="V437" s="9">
        <v>6.67</v>
      </c>
      <c r="W437" s="56" t="s">
        <v>2434</v>
      </c>
      <c r="X437" s="9">
        <v>52.685620653999997</v>
      </c>
      <c r="Y437" s="56" t="s">
        <v>87</v>
      </c>
      <c r="Z437" s="9">
        <v>22.906791588695654</v>
      </c>
      <c r="AA437" s="53" t="s">
        <v>1</v>
      </c>
      <c r="AB437" s="52" t="s">
        <v>87</v>
      </c>
      <c r="AC437" s="9">
        <v>9.7860780385904249</v>
      </c>
      <c r="AD437" s="56" t="s">
        <v>249</v>
      </c>
      <c r="AE437" s="56" t="s">
        <v>87</v>
      </c>
      <c r="AF437" s="9">
        <v>9.6755146153251399</v>
      </c>
      <c r="AG437" s="53" t="s">
        <v>1</v>
      </c>
      <c r="AH437" s="53" t="s">
        <v>180</v>
      </c>
      <c r="AI437" s="9">
        <v>9.582201412786457</v>
      </c>
      <c r="AJ437" s="52" t="s">
        <v>249</v>
      </c>
      <c r="AK437" s="59" t="s">
        <v>180</v>
      </c>
      <c r="AL437" s="9">
        <v>9.4640279570666657</v>
      </c>
      <c r="AM437" s="53" t="s">
        <v>1</v>
      </c>
      <c r="AN437" s="70" t="s">
        <v>76</v>
      </c>
      <c r="AO437" s="9">
        <v>9.3138035877201695</v>
      </c>
      <c r="AP437" s="60"/>
      <c r="AQ437" s="52" t="s">
        <v>249</v>
      </c>
      <c r="AR437" s="9">
        <v>9.0629568220240007</v>
      </c>
      <c r="AS437" s="52" t="s">
        <v>249</v>
      </c>
      <c r="AT437" s="9">
        <v>3.0209856073413337</v>
      </c>
      <c r="AU437" s="56" t="s">
        <v>249</v>
      </c>
      <c r="AV437" s="9">
        <v>2.6666666666666998</v>
      </c>
      <c r="AW437" s="53" t="s">
        <v>180</v>
      </c>
      <c r="AX437" s="9">
        <v>74.910437535219998</v>
      </c>
      <c r="AY437" s="56" t="s">
        <v>87</v>
      </c>
      <c r="AZ437" s="9">
        <v>1.2398419427309093</v>
      </c>
      <c r="BA437" s="56" t="s">
        <v>249</v>
      </c>
      <c r="BB437" s="56" t="s">
        <v>87</v>
      </c>
      <c r="BC437" s="9">
        <v>6.0346420809995376</v>
      </c>
      <c r="BD437" s="56" t="s">
        <v>249</v>
      </c>
      <c r="BE437" s="59" t="s">
        <v>180</v>
      </c>
      <c r="BF437" s="9">
        <v>5.8540674567158621</v>
      </c>
      <c r="BG437" s="56" t="s">
        <v>249</v>
      </c>
      <c r="BH437" s="70" t="s">
        <v>76</v>
      </c>
      <c r="BI437" s="9">
        <v>5.2578639671243934</v>
      </c>
      <c r="BJ437" s="53" t="s">
        <v>1</v>
      </c>
      <c r="BK437" s="56" t="s">
        <v>87</v>
      </c>
      <c r="BL437" s="9">
        <v>4.6593263743256719</v>
      </c>
      <c r="BM437" s="53" t="s">
        <v>1</v>
      </c>
      <c r="BN437" s="59" t="s">
        <v>180</v>
      </c>
      <c r="BO437" s="9">
        <v>4.5150834342536816</v>
      </c>
    </row>
    <row r="438" spans="1:67" x14ac:dyDescent="0.45">
      <c r="A438" s="10">
        <v>412</v>
      </c>
      <c r="B438" s="10" t="s">
        <v>649</v>
      </c>
      <c r="C438" s="289" t="s">
        <v>1887</v>
      </c>
      <c r="D438" s="65"/>
      <c r="E438" s="287" t="s">
        <v>2203</v>
      </c>
      <c r="F438" s="58" t="s">
        <v>2204</v>
      </c>
      <c r="G438" s="242"/>
      <c r="H438" s="10"/>
      <c r="I438" s="62">
        <v>53.74040068</v>
      </c>
      <c r="J438" s="62">
        <v>77.449400980000007</v>
      </c>
      <c r="K438" s="62">
        <v>106.69050135000001</v>
      </c>
      <c r="L438" s="49">
        <v>488.50927036133032</v>
      </c>
      <c r="M438" s="49">
        <v>582.05382307190098</v>
      </c>
      <c r="N438" s="49">
        <v>669.63079116094548</v>
      </c>
      <c r="O438" s="61">
        <v>7.6691447526887302</v>
      </c>
      <c r="P438" s="60"/>
      <c r="Q438" s="69" t="s">
        <v>38</v>
      </c>
      <c r="R438" s="9">
        <v>2.6122120203999999</v>
      </c>
      <c r="S438" s="69" t="s">
        <v>38</v>
      </c>
      <c r="T438" s="9">
        <v>5.2244240407999998</v>
      </c>
      <c r="U438" s="69" t="s">
        <v>38</v>
      </c>
      <c r="V438" s="9">
        <v>12</v>
      </c>
      <c r="W438" s="64" t="s">
        <v>645</v>
      </c>
      <c r="X438" s="9">
        <v>10.404570119000001</v>
      </c>
      <c r="Y438" s="64" t="s">
        <v>645</v>
      </c>
      <c r="Z438" s="9">
        <v>4.7293500540909088</v>
      </c>
      <c r="AA438" s="69" t="s">
        <v>38</v>
      </c>
      <c r="AB438" s="15" t="s">
        <v>645</v>
      </c>
      <c r="AC438" s="9">
        <v>5.0056190198883934</v>
      </c>
      <c r="AD438" s="64" t="s">
        <v>127</v>
      </c>
      <c r="AE438" s="64" t="s">
        <v>645</v>
      </c>
      <c r="AF438" s="9">
        <v>4.7038500419879519</v>
      </c>
      <c r="AG438" s="53"/>
      <c r="AH438" s="53"/>
      <c r="AI438" s="9"/>
      <c r="AJ438" s="52"/>
      <c r="AK438" s="78"/>
      <c r="AL438" s="9"/>
      <c r="AM438" s="53"/>
      <c r="AN438" s="70"/>
      <c r="AO438" s="9"/>
      <c r="AP438" s="60"/>
      <c r="AQ438" s="69" t="s">
        <v>38</v>
      </c>
      <c r="AR438" s="9">
        <v>2.257525375912</v>
      </c>
      <c r="AS438" s="69" t="s">
        <v>38</v>
      </c>
      <c r="AT438" s="9">
        <v>2.257525375912</v>
      </c>
      <c r="AU438" s="289" t="s">
        <v>38</v>
      </c>
      <c r="AV438" s="9">
        <v>3</v>
      </c>
      <c r="AW438" s="15" t="s">
        <v>645</v>
      </c>
      <c r="AX438" s="9">
        <v>13.225941154700001</v>
      </c>
      <c r="AY438" s="64" t="s">
        <v>645</v>
      </c>
      <c r="AZ438" s="9">
        <v>0.13225941154700002</v>
      </c>
      <c r="BA438" s="289" t="s">
        <v>38</v>
      </c>
      <c r="BB438" s="64" t="s">
        <v>645</v>
      </c>
      <c r="BC438" s="9">
        <v>2.5769937966533982</v>
      </c>
      <c r="BD438" s="64" t="s">
        <v>127</v>
      </c>
      <c r="BE438" s="64" t="s">
        <v>645</v>
      </c>
      <c r="BF438" s="9">
        <v>2.2671143493666666</v>
      </c>
      <c r="BG438" s="78"/>
      <c r="BH438" s="70"/>
      <c r="BI438" s="9"/>
      <c r="BJ438" s="53"/>
      <c r="BK438" s="76"/>
      <c r="BL438" s="9"/>
      <c r="BM438" s="53"/>
      <c r="BN438" s="78"/>
      <c r="BO438" s="9"/>
    </row>
    <row r="439" spans="1:67" x14ac:dyDescent="0.45">
      <c r="A439" s="10">
        <v>412</v>
      </c>
      <c r="B439" s="10" t="s">
        <v>648</v>
      </c>
      <c r="C439" s="289" t="s">
        <v>1887</v>
      </c>
      <c r="D439" s="65"/>
      <c r="E439" s="287" t="s">
        <v>2203</v>
      </c>
      <c r="F439" s="58" t="s">
        <v>2204</v>
      </c>
      <c r="G439" s="242"/>
      <c r="H439" s="10"/>
      <c r="I439" s="62">
        <v>53.74040068</v>
      </c>
      <c r="J439" s="62">
        <v>77.449400980000007</v>
      </c>
      <c r="K439" s="62">
        <v>106.69050135000001</v>
      </c>
      <c r="L439" s="49">
        <v>488.50927036133032</v>
      </c>
      <c r="M439" s="49">
        <v>582.05382307190098</v>
      </c>
      <c r="N439" s="49">
        <v>669.63079116094548</v>
      </c>
      <c r="O439" s="61">
        <v>7.6691447526887302</v>
      </c>
      <c r="P439" s="60"/>
      <c r="Q439" s="69" t="s">
        <v>38</v>
      </c>
      <c r="R439" s="9">
        <v>2.6122120203999999</v>
      </c>
      <c r="S439" s="69" t="s">
        <v>38</v>
      </c>
      <c r="T439" s="9">
        <v>5.2244240407999998</v>
      </c>
      <c r="U439" s="69" t="s">
        <v>38</v>
      </c>
      <c r="V439" s="9">
        <v>12</v>
      </c>
      <c r="W439" s="64" t="s">
        <v>645</v>
      </c>
      <c r="X439" s="9">
        <v>10.404570119000001</v>
      </c>
      <c r="Y439" s="64" t="s">
        <v>645</v>
      </c>
      <c r="Z439" s="9">
        <v>4.7293500540909088</v>
      </c>
      <c r="AA439" s="69" t="s">
        <v>38</v>
      </c>
      <c r="AB439" s="15" t="s">
        <v>645</v>
      </c>
      <c r="AC439" s="9">
        <v>5.0056190198883934</v>
      </c>
      <c r="AD439" s="64" t="s">
        <v>127</v>
      </c>
      <c r="AE439" s="64" t="s">
        <v>645</v>
      </c>
      <c r="AF439" s="9">
        <v>4.7038500419879519</v>
      </c>
      <c r="AI439" s="9"/>
      <c r="AK439" s="78"/>
      <c r="AL439" s="9"/>
      <c r="AO439" s="9"/>
      <c r="AP439" s="60"/>
      <c r="AQ439" s="69" t="s">
        <v>38</v>
      </c>
      <c r="AR439" s="9">
        <v>2.257525375912</v>
      </c>
      <c r="AS439" s="69" t="s">
        <v>38</v>
      </c>
      <c r="AT439" s="9">
        <v>2.257525375912</v>
      </c>
      <c r="AU439" s="289" t="s">
        <v>38</v>
      </c>
      <c r="AV439" s="9">
        <v>3</v>
      </c>
      <c r="AW439" s="15" t="s">
        <v>645</v>
      </c>
      <c r="AX439" s="9">
        <v>13.225941154700001</v>
      </c>
      <c r="AY439" s="64" t="s">
        <v>645</v>
      </c>
      <c r="AZ439" s="9">
        <v>0.13225941154700002</v>
      </c>
      <c r="BA439" s="289" t="s">
        <v>38</v>
      </c>
      <c r="BB439" s="64" t="s">
        <v>645</v>
      </c>
      <c r="BC439" s="9">
        <v>2.5769937966533982</v>
      </c>
      <c r="BD439" s="64" t="s">
        <v>127</v>
      </c>
      <c r="BE439" s="64" t="s">
        <v>645</v>
      </c>
      <c r="BF439" s="9">
        <v>2.2671143493666666</v>
      </c>
      <c r="BG439" s="78"/>
      <c r="BI439" s="9"/>
      <c r="BK439" s="76"/>
      <c r="BL439" s="9"/>
      <c r="BN439" s="78"/>
      <c r="BO439" s="9"/>
    </row>
    <row r="440" spans="1:67" x14ac:dyDescent="0.45">
      <c r="A440" s="10">
        <v>412</v>
      </c>
      <c r="B440" s="10" t="s">
        <v>647</v>
      </c>
      <c r="C440" s="289" t="s">
        <v>1887</v>
      </c>
      <c r="D440" s="65"/>
      <c r="E440" s="287" t="s">
        <v>2203</v>
      </c>
      <c r="F440" s="58" t="s">
        <v>2204</v>
      </c>
      <c r="G440" s="242"/>
      <c r="H440" s="10"/>
      <c r="I440" s="62">
        <v>53.74040068</v>
      </c>
      <c r="J440" s="62">
        <v>77.449400980000007</v>
      </c>
      <c r="K440" s="62">
        <v>106.69050135000001</v>
      </c>
      <c r="L440" s="49">
        <v>488.50927036133032</v>
      </c>
      <c r="M440" s="49">
        <v>582.05382307190098</v>
      </c>
      <c r="N440" s="49">
        <v>669.63079116094548</v>
      </c>
      <c r="O440" s="61">
        <v>7.6691447526887302</v>
      </c>
      <c r="P440" s="60"/>
      <c r="Q440" s="69" t="s">
        <v>38</v>
      </c>
      <c r="R440" s="9">
        <v>2.6122120203999999</v>
      </c>
      <c r="S440" s="69" t="s">
        <v>38</v>
      </c>
      <c r="T440" s="9">
        <v>5.2244240407999998</v>
      </c>
      <c r="U440" s="69" t="s">
        <v>38</v>
      </c>
      <c r="V440" s="9">
        <v>12</v>
      </c>
      <c r="W440" s="64" t="s">
        <v>645</v>
      </c>
      <c r="X440" s="9">
        <v>10.404570119000001</v>
      </c>
      <c r="Y440" s="64" t="s">
        <v>645</v>
      </c>
      <c r="Z440" s="9">
        <v>4.7293500540909088</v>
      </c>
      <c r="AA440" s="69" t="s">
        <v>38</v>
      </c>
      <c r="AB440" s="15" t="s">
        <v>645</v>
      </c>
      <c r="AC440" s="9">
        <v>5.0056190198883934</v>
      </c>
      <c r="AD440" s="64" t="s">
        <v>127</v>
      </c>
      <c r="AE440" s="64" t="s">
        <v>645</v>
      </c>
      <c r="AF440" s="9">
        <v>4.7038500419879519</v>
      </c>
      <c r="AI440" s="9"/>
      <c r="AK440" s="78"/>
      <c r="AL440" s="9"/>
      <c r="AO440" s="9"/>
      <c r="AP440" s="60"/>
      <c r="AQ440" s="69" t="s">
        <v>38</v>
      </c>
      <c r="AR440" s="9">
        <v>2.257525375912</v>
      </c>
      <c r="AS440" s="69" t="s">
        <v>38</v>
      </c>
      <c r="AT440" s="9">
        <v>2.257525375912</v>
      </c>
      <c r="AU440" s="289" t="s">
        <v>38</v>
      </c>
      <c r="AV440" s="9">
        <v>3</v>
      </c>
      <c r="AW440" s="15" t="s">
        <v>645</v>
      </c>
      <c r="AX440" s="9">
        <v>13.225941154700001</v>
      </c>
      <c r="AY440" s="64" t="s">
        <v>645</v>
      </c>
      <c r="AZ440" s="9">
        <v>0.13225941154700002</v>
      </c>
      <c r="BA440" s="289" t="s">
        <v>38</v>
      </c>
      <c r="BB440" s="64" t="s">
        <v>645</v>
      </c>
      <c r="BC440" s="9">
        <v>2.5769937966533982</v>
      </c>
      <c r="BD440" s="64" t="s">
        <v>127</v>
      </c>
      <c r="BE440" s="64" t="s">
        <v>645</v>
      </c>
      <c r="BF440" s="9">
        <v>2.2671143493666666</v>
      </c>
      <c r="BG440" s="78"/>
      <c r="BI440" s="9"/>
      <c r="BK440" s="76"/>
      <c r="BL440" s="9"/>
      <c r="BN440" s="78"/>
      <c r="BO440" s="9"/>
    </row>
    <row r="441" spans="1:67" x14ac:dyDescent="0.45">
      <c r="A441" s="10">
        <v>413</v>
      </c>
      <c r="B441" s="10" t="s">
        <v>640</v>
      </c>
      <c r="C441" s="289" t="s">
        <v>2118</v>
      </c>
      <c r="D441" s="287" t="s">
        <v>2107</v>
      </c>
      <c r="E441" s="63" t="s">
        <v>2230</v>
      </c>
      <c r="F441" s="58" t="s">
        <v>2231</v>
      </c>
      <c r="G441" s="80" t="s">
        <v>2179</v>
      </c>
      <c r="H441" s="10"/>
      <c r="I441" s="62">
        <v>123.28680156000001</v>
      </c>
      <c r="J441" s="62">
        <v>154.10850195</v>
      </c>
      <c r="K441" s="62">
        <v>134.35100170000001</v>
      </c>
      <c r="L441" s="49">
        <v>1773.9866186928982</v>
      </c>
      <c r="M441" s="49">
        <v>1867.7671332422663</v>
      </c>
      <c r="N441" s="49">
        <v>1946.3486598850025</v>
      </c>
      <c r="O441" s="61">
        <v>17.939935086247118</v>
      </c>
      <c r="P441" s="60"/>
      <c r="Q441" s="57" t="s">
        <v>101</v>
      </c>
      <c r="R441" s="9">
        <v>13.328680156000001</v>
      </c>
      <c r="S441" s="69" t="s">
        <v>38</v>
      </c>
      <c r="T441" s="9">
        <v>9.3972080935999998</v>
      </c>
      <c r="U441" s="69" t="s">
        <v>38</v>
      </c>
      <c r="V441" s="9">
        <v>12</v>
      </c>
      <c r="W441" s="79" t="s">
        <v>2435</v>
      </c>
      <c r="X441" s="9">
        <v>67.574872842400012</v>
      </c>
      <c r="Y441" s="289" t="s">
        <v>126</v>
      </c>
      <c r="Z441" s="9">
        <v>18.263479146594598</v>
      </c>
      <c r="AA441" s="69" t="s">
        <v>38</v>
      </c>
      <c r="AB441" s="69" t="s">
        <v>126</v>
      </c>
      <c r="AC441" s="9">
        <v>13.567361004118645</v>
      </c>
      <c r="AD441" s="289" t="s">
        <v>38</v>
      </c>
      <c r="AE441" s="79" t="s">
        <v>33</v>
      </c>
      <c r="AF441" s="9">
        <v>13.230980152776862</v>
      </c>
      <c r="AG441" s="57" t="s">
        <v>101</v>
      </c>
      <c r="AH441" s="69" t="s">
        <v>126</v>
      </c>
      <c r="AI441" s="9">
        <v>12.398945390671589</v>
      </c>
      <c r="AJ441" s="57" t="s">
        <v>101</v>
      </c>
      <c r="AK441" s="79" t="s">
        <v>33</v>
      </c>
      <c r="AL441" s="9">
        <v>12.130376176433213</v>
      </c>
      <c r="AM441" s="69" t="s">
        <v>38</v>
      </c>
      <c r="AN441" s="57" t="s">
        <v>1516</v>
      </c>
      <c r="AO441" s="9">
        <v>11.30842727638009</v>
      </c>
      <c r="AP441" s="60"/>
      <c r="AQ441" s="57" t="s">
        <v>101</v>
      </c>
      <c r="AR441" s="9">
        <v>13.821827362240002</v>
      </c>
      <c r="AS441" s="69" t="s">
        <v>38</v>
      </c>
      <c r="AT441" s="9">
        <v>3.8849111565040007</v>
      </c>
      <c r="AU441" s="242" t="s">
        <v>2455</v>
      </c>
      <c r="AV441" s="9">
        <v>3</v>
      </c>
      <c r="AW441" s="72" t="s">
        <v>2512</v>
      </c>
      <c r="AX441" s="9">
        <v>87.547334695120014</v>
      </c>
      <c r="AY441" s="79" t="s">
        <v>2513</v>
      </c>
      <c r="AZ441" s="9">
        <v>1.4591222449186669</v>
      </c>
      <c r="BA441" s="289" t="s">
        <v>38</v>
      </c>
      <c r="BB441" s="79" t="s">
        <v>33</v>
      </c>
      <c r="BC441" s="9">
        <v>7.8688360869142873</v>
      </c>
      <c r="BD441" s="289" t="s">
        <v>38</v>
      </c>
      <c r="BE441" s="289" t="s">
        <v>126</v>
      </c>
      <c r="BF441" s="9">
        <v>7.8688360869142873</v>
      </c>
      <c r="BG441" s="242" t="s">
        <v>101</v>
      </c>
      <c r="BH441" s="72" t="s">
        <v>33</v>
      </c>
      <c r="BI441" s="9">
        <v>7.4598319764914303</v>
      </c>
      <c r="BJ441" s="57" t="s">
        <v>101</v>
      </c>
      <c r="BK441" s="289" t="s">
        <v>126</v>
      </c>
      <c r="BL441" s="9">
        <v>7.4598319764914303</v>
      </c>
      <c r="BM441" s="69" t="s">
        <v>38</v>
      </c>
      <c r="BN441" s="242" t="s">
        <v>1516</v>
      </c>
      <c r="BO441" s="9">
        <v>6.4187484685657159</v>
      </c>
    </row>
    <row r="442" spans="1:67" x14ac:dyDescent="0.45">
      <c r="A442" s="10">
        <v>413</v>
      </c>
      <c r="B442" s="10" t="s">
        <v>644</v>
      </c>
      <c r="C442" s="289" t="s">
        <v>2149</v>
      </c>
      <c r="D442" s="75" t="s">
        <v>1976</v>
      </c>
      <c r="E442" s="58"/>
      <c r="F442" s="64" t="s">
        <v>2297</v>
      </c>
      <c r="G442" s="63" t="s">
        <v>2106</v>
      </c>
      <c r="H442" s="10"/>
      <c r="I442" s="62">
        <v>112.22260142</v>
      </c>
      <c r="J442" s="62">
        <v>150.15700190000001</v>
      </c>
      <c r="K442" s="62">
        <v>134.35100170000001</v>
      </c>
      <c r="L442" s="49">
        <v>1593.9459127148741</v>
      </c>
      <c r="M442" s="49">
        <v>1724.1612729532585</v>
      </c>
      <c r="N442" s="49">
        <v>1835.9520332888521</v>
      </c>
      <c r="O442" s="61">
        <v>17.539991135303982</v>
      </c>
      <c r="P442" s="60"/>
      <c r="Q442" s="57" t="s">
        <v>101</v>
      </c>
      <c r="R442" s="9">
        <v>12.222260142</v>
      </c>
      <c r="S442" s="69" t="s">
        <v>38</v>
      </c>
      <c r="T442" s="9">
        <v>8.7333560852000005</v>
      </c>
      <c r="U442" s="69" t="s">
        <v>38</v>
      </c>
      <c r="V442" s="9">
        <v>12</v>
      </c>
      <c r="W442" s="289" t="s">
        <v>126</v>
      </c>
      <c r="X442" s="9">
        <v>61.600204766799997</v>
      </c>
      <c r="Y442" s="59" t="s">
        <v>184</v>
      </c>
      <c r="Z442" s="9">
        <v>21.789545532210528</v>
      </c>
      <c r="AA442" s="69" t="s">
        <v>38</v>
      </c>
      <c r="AB442" s="53" t="s">
        <v>184</v>
      </c>
      <c r="AC442" s="9">
        <v>12.82238245047253</v>
      </c>
      <c r="AD442" s="289" t="s">
        <v>38</v>
      </c>
      <c r="AE442" s="289" t="s">
        <v>126</v>
      </c>
      <c r="AF442" s="9">
        <v>12.456252769720338</v>
      </c>
      <c r="AG442" s="57" t="s">
        <v>101</v>
      </c>
      <c r="AH442" s="53" t="s">
        <v>184</v>
      </c>
      <c r="AI442" s="9">
        <v>11.355899122285715</v>
      </c>
      <c r="AJ442" s="57" t="s">
        <v>101</v>
      </c>
      <c r="AK442" s="289" t="s">
        <v>126</v>
      </c>
      <c r="AL442" s="9">
        <v>11.329269952782287</v>
      </c>
      <c r="AM442" s="69" t="s">
        <v>38</v>
      </c>
      <c r="AN442" s="57" t="s">
        <v>1516</v>
      </c>
      <c r="AO442" s="9">
        <v>10.407270703891403</v>
      </c>
      <c r="AP442" s="60"/>
      <c r="AQ442" s="57" t="s">
        <v>101</v>
      </c>
      <c r="AR442" s="9">
        <v>12.67115054768</v>
      </c>
      <c r="AS442" s="69" t="s">
        <v>38</v>
      </c>
      <c r="AT442" s="9">
        <v>3.6260088732280003</v>
      </c>
      <c r="AU442" s="242" t="s">
        <v>2455</v>
      </c>
      <c r="AV442" s="9">
        <v>3</v>
      </c>
      <c r="AW442" s="69" t="s">
        <v>126</v>
      </c>
      <c r="AX442" s="9">
        <v>79.780266196840003</v>
      </c>
      <c r="AY442" s="289" t="s">
        <v>126</v>
      </c>
      <c r="AZ442" s="9">
        <v>1.3296711032806667</v>
      </c>
      <c r="BA442" s="289" t="s">
        <v>38</v>
      </c>
      <c r="BB442" s="289" t="s">
        <v>126</v>
      </c>
      <c r="BC442" s="9">
        <v>7.2524020791142858</v>
      </c>
      <c r="BD442" s="289" t="s">
        <v>38</v>
      </c>
      <c r="BE442" s="59" t="s">
        <v>184</v>
      </c>
      <c r="BF442" s="9">
        <v>6.9456804676860386</v>
      </c>
      <c r="BG442" s="242" t="s">
        <v>101</v>
      </c>
      <c r="BH442" s="69" t="s">
        <v>126</v>
      </c>
      <c r="BI442" s="9">
        <v>6.8160009016780956</v>
      </c>
      <c r="BJ442" s="57" t="s">
        <v>101</v>
      </c>
      <c r="BK442" s="59" t="s">
        <v>184</v>
      </c>
      <c r="BL442" s="9">
        <v>6.5133962824898113</v>
      </c>
      <c r="BM442" s="69" t="s">
        <v>38</v>
      </c>
      <c r="BN442" s="242" t="s">
        <v>1516</v>
      </c>
      <c r="BO442" s="9">
        <v>5.9324505290790475</v>
      </c>
    </row>
    <row r="443" spans="1:67" x14ac:dyDescent="0.45">
      <c r="A443" s="10">
        <v>413</v>
      </c>
      <c r="B443" s="10" t="s">
        <v>642</v>
      </c>
      <c r="C443" s="80" t="s">
        <v>2165</v>
      </c>
      <c r="D443" s="65"/>
      <c r="E443" s="287" t="s">
        <v>2282</v>
      </c>
      <c r="F443" s="58" t="s">
        <v>2325</v>
      </c>
      <c r="G443" s="290" t="s">
        <v>1992</v>
      </c>
      <c r="H443" s="10"/>
      <c r="I443" s="62">
        <v>123.28680156000001</v>
      </c>
      <c r="J443" s="62">
        <v>154.10850195</v>
      </c>
      <c r="K443" s="62">
        <v>134.35100170000001</v>
      </c>
      <c r="L443" s="49">
        <v>1773.9866186928982</v>
      </c>
      <c r="M443" s="49">
        <v>1867.7671332422663</v>
      </c>
      <c r="N443" s="49">
        <v>1946.3486598850025</v>
      </c>
      <c r="O443" s="61">
        <v>17.939935086247118</v>
      </c>
      <c r="P443" s="60"/>
      <c r="Q443" s="57" t="s">
        <v>101</v>
      </c>
      <c r="R443" s="9">
        <v>13.328680156000001</v>
      </c>
      <c r="S443" s="69" t="s">
        <v>38</v>
      </c>
      <c r="T443" s="9">
        <v>9.3972080935999998</v>
      </c>
      <c r="U443" s="69" t="s">
        <v>38</v>
      </c>
      <c r="V443" s="9">
        <v>12</v>
      </c>
      <c r="W443" s="289" t="s">
        <v>126</v>
      </c>
      <c r="X443" s="9">
        <v>67.574872842400012</v>
      </c>
      <c r="Y443" s="289" t="s">
        <v>126</v>
      </c>
      <c r="Z443" s="9">
        <v>18.263479146594598</v>
      </c>
      <c r="AA443" s="69" t="s">
        <v>38</v>
      </c>
      <c r="AB443" s="69" t="s">
        <v>126</v>
      </c>
      <c r="AC443" s="9">
        <v>13.567361004118645</v>
      </c>
      <c r="AD443" s="289" t="s">
        <v>38</v>
      </c>
      <c r="AE443" s="80" t="s">
        <v>1504</v>
      </c>
      <c r="AF443" s="9">
        <v>12.956438931147828</v>
      </c>
      <c r="AG443" s="57" t="s">
        <v>101</v>
      </c>
      <c r="AH443" s="69" t="s">
        <v>126</v>
      </c>
      <c r="AI443" s="9">
        <v>12.398945390671589</v>
      </c>
      <c r="AJ443" s="57" t="s">
        <v>101</v>
      </c>
      <c r="AK443" s="80" t="s">
        <v>1504</v>
      </c>
      <c r="AL443" s="9">
        <v>11.842256445524528</v>
      </c>
      <c r="AM443" s="69" t="s">
        <v>38</v>
      </c>
      <c r="AN443" s="57" t="s">
        <v>1516</v>
      </c>
      <c r="AO443" s="9">
        <v>11.30842727638009</v>
      </c>
      <c r="AP443" s="60"/>
      <c r="AQ443" s="57" t="s">
        <v>101</v>
      </c>
      <c r="AR443" s="9">
        <v>13.821827362240002</v>
      </c>
      <c r="AS443" s="69" t="s">
        <v>38</v>
      </c>
      <c r="AT443" s="9">
        <v>3.8849111565040007</v>
      </c>
      <c r="AU443" s="242" t="s">
        <v>2455</v>
      </c>
      <c r="AV443" s="9">
        <v>3</v>
      </c>
      <c r="AW443" s="69" t="s">
        <v>126</v>
      </c>
      <c r="AX443" s="9">
        <v>87.547334695120014</v>
      </c>
      <c r="AY443" s="289" t="s">
        <v>126</v>
      </c>
      <c r="AZ443" s="9">
        <v>1.4591222449186669</v>
      </c>
      <c r="BA443" s="289" t="s">
        <v>38</v>
      </c>
      <c r="BB443" s="289" t="s">
        <v>126</v>
      </c>
      <c r="BC443" s="9">
        <v>7.8688360869142873</v>
      </c>
      <c r="BD443" s="242" t="s">
        <v>101</v>
      </c>
      <c r="BE443" s="289" t="s">
        <v>126</v>
      </c>
      <c r="BF443" s="9">
        <v>7.4598319764914303</v>
      </c>
      <c r="BG443" s="289" t="s">
        <v>38</v>
      </c>
      <c r="BH443" s="71" t="s">
        <v>1504</v>
      </c>
      <c r="BI443" s="9">
        <v>7.410913681120002</v>
      </c>
      <c r="BJ443" s="57" t="s">
        <v>101</v>
      </c>
      <c r="BK443" s="80" t="s">
        <v>1504</v>
      </c>
      <c r="BL443" s="9">
        <v>7.0019095706971441</v>
      </c>
      <c r="BM443" s="69" t="s">
        <v>38</v>
      </c>
      <c r="BN443" s="242" t="s">
        <v>1516</v>
      </c>
      <c r="BO443" s="9">
        <v>6.4187484685657159</v>
      </c>
    </row>
    <row r="444" spans="1:67" x14ac:dyDescent="0.45">
      <c r="A444" s="10">
        <v>414</v>
      </c>
      <c r="B444" s="10" t="s">
        <v>637</v>
      </c>
      <c r="C444" s="287" t="s">
        <v>2108</v>
      </c>
      <c r="D444" s="56" t="s">
        <v>2025</v>
      </c>
      <c r="E444" s="287" t="s">
        <v>2205</v>
      </c>
      <c r="F444" s="289" t="s">
        <v>1887</v>
      </c>
      <c r="G444" s="58" t="s">
        <v>2164</v>
      </c>
      <c r="H444" s="80" t="s">
        <v>1892</v>
      </c>
      <c r="I444" s="62">
        <v>158.060002</v>
      </c>
      <c r="J444" s="62">
        <v>89.30390113</v>
      </c>
      <c r="K444" s="62">
        <v>147.78610187000001</v>
      </c>
      <c r="L444" s="49">
        <v>1815.8250185629608</v>
      </c>
      <c r="M444" s="49">
        <v>1632.6158381957089</v>
      </c>
      <c r="N444" s="49">
        <v>1499.4500849560893</v>
      </c>
      <c r="O444" s="61">
        <v>12.115880073591626</v>
      </c>
      <c r="P444" s="60"/>
      <c r="Q444" s="16" t="s">
        <v>158</v>
      </c>
      <c r="R444" s="9">
        <v>14.277040167999999</v>
      </c>
      <c r="S444" s="16" t="s">
        <v>158</v>
      </c>
      <c r="T444" s="9">
        <v>11.897533473333333</v>
      </c>
      <c r="U444" s="69" t="s">
        <v>38</v>
      </c>
      <c r="V444" s="9">
        <v>12</v>
      </c>
      <c r="W444" s="289" t="s">
        <v>126</v>
      </c>
      <c r="X444" s="9">
        <v>86.352401079999993</v>
      </c>
      <c r="Y444" s="289" t="s">
        <v>126</v>
      </c>
      <c r="Z444" s="9">
        <v>23.338486778378375</v>
      </c>
      <c r="AA444" s="69" t="s">
        <v>38</v>
      </c>
      <c r="AB444" s="69" t="s">
        <v>126</v>
      </c>
      <c r="AC444" s="9">
        <v>17.059415455084743</v>
      </c>
      <c r="AD444" s="289" t="s">
        <v>38</v>
      </c>
      <c r="AE444" s="287" t="s">
        <v>203</v>
      </c>
      <c r="AF444" s="9">
        <v>16.427643968669528</v>
      </c>
      <c r="AG444" s="16" t="s">
        <v>158</v>
      </c>
      <c r="AH444" s="69" t="s">
        <v>126</v>
      </c>
      <c r="AI444" s="9">
        <v>16.261608445360825</v>
      </c>
      <c r="AJ444" s="16" t="s">
        <v>158</v>
      </c>
      <c r="AK444" s="287" t="s">
        <v>203</v>
      </c>
      <c r="AL444" s="9">
        <v>15.742177273958333</v>
      </c>
      <c r="AM444" s="69" t="s">
        <v>38</v>
      </c>
      <c r="AN444" s="57" t="s">
        <v>1516</v>
      </c>
      <c r="AO444" s="9">
        <v>14.140633647058824</v>
      </c>
      <c r="AP444" s="60"/>
      <c r="AQ444" s="16" t="s">
        <v>158</v>
      </c>
      <c r="AR444" s="9">
        <v>12.0958121404</v>
      </c>
      <c r="AS444" s="69" t="s">
        <v>38</v>
      </c>
      <c r="AT444" s="9">
        <v>4.6986040467999999</v>
      </c>
      <c r="AU444" s="287" t="s">
        <v>2514</v>
      </c>
      <c r="AV444" s="9">
        <v>3</v>
      </c>
      <c r="AW444" s="69" t="s">
        <v>126</v>
      </c>
      <c r="AX444" s="9">
        <v>111.958121404</v>
      </c>
      <c r="AY444" s="289" t="s">
        <v>126</v>
      </c>
      <c r="AZ444" s="9">
        <v>1.8659686900666665</v>
      </c>
      <c r="BA444" s="289" t="s">
        <v>38</v>
      </c>
      <c r="BB444" s="289" t="s">
        <v>126</v>
      </c>
      <c r="BC444" s="9">
        <v>9.8062001114285717</v>
      </c>
      <c r="BD444" s="287" t="s">
        <v>158</v>
      </c>
      <c r="BE444" s="289" t="s">
        <v>126</v>
      </c>
      <c r="BF444" s="9">
        <v>9.1712794765079355</v>
      </c>
      <c r="BG444" s="289" t="s">
        <v>38</v>
      </c>
      <c r="BH444" s="16" t="s">
        <v>203</v>
      </c>
      <c r="BI444" s="9">
        <v>8.7054250975000009</v>
      </c>
      <c r="BJ444" s="16" t="s">
        <v>158</v>
      </c>
      <c r="BK444" s="287" t="s">
        <v>203</v>
      </c>
      <c r="BL444" s="9">
        <v>8.0804250975000009</v>
      </c>
      <c r="BM444" s="69" t="s">
        <v>38</v>
      </c>
      <c r="BN444" s="242" t="s">
        <v>1516</v>
      </c>
      <c r="BO444" s="9">
        <v>7.9471134212380949</v>
      </c>
    </row>
    <row r="445" spans="1:67" x14ac:dyDescent="0.45">
      <c r="A445" s="10">
        <v>415</v>
      </c>
      <c r="B445" s="10" t="s">
        <v>634</v>
      </c>
      <c r="C445" s="287" t="s">
        <v>2108</v>
      </c>
      <c r="D445" s="56" t="s">
        <v>2025</v>
      </c>
      <c r="E445" s="287" t="s">
        <v>2205</v>
      </c>
      <c r="F445" s="289" t="s">
        <v>1887</v>
      </c>
      <c r="G445" s="58" t="s">
        <v>2164</v>
      </c>
      <c r="H445" s="80" t="s">
        <v>1892</v>
      </c>
      <c r="I445" s="62">
        <v>58.482200740000003</v>
      </c>
      <c r="J445" s="62">
        <v>77.449400980000007</v>
      </c>
      <c r="K445" s="62">
        <v>92.465101170000011</v>
      </c>
      <c r="L445" s="49">
        <v>494.90479696565762</v>
      </c>
      <c r="M445" s="49">
        <v>559.77445997112625</v>
      </c>
      <c r="N445" s="49">
        <v>617.7406954936248</v>
      </c>
      <c r="O445" s="61">
        <v>6.6465921189969004</v>
      </c>
      <c r="P445" s="60"/>
      <c r="Q445" s="69" t="s">
        <v>38</v>
      </c>
      <c r="R445" s="9">
        <v>2.7544660221999999</v>
      </c>
      <c r="S445" s="69" t="s">
        <v>38</v>
      </c>
      <c r="T445" s="9">
        <v>5.5089320443999998</v>
      </c>
      <c r="U445" s="69" t="s">
        <v>38</v>
      </c>
      <c r="V445" s="9">
        <v>12</v>
      </c>
      <c r="W445" s="289" t="s">
        <v>126</v>
      </c>
      <c r="X445" s="9">
        <v>32.580388399600004</v>
      </c>
      <c r="Y445" s="289" t="s">
        <v>126</v>
      </c>
      <c r="Z445" s="9">
        <v>8.8055103782702702</v>
      </c>
      <c r="AA445" s="69" t="s">
        <v>38</v>
      </c>
      <c r="AB445" s="69" t="s">
        <v>126</v>
      </c>
      <c r="AC445" s="9">
        <v>7.0594413455000007</v>
      </c>
      <c r="AD445" s="78"/>
      <c r="AE445" s="76"/>
      <c r="AF445" s="9"/>
      <c r="AG445" s="16"/>
      <c r="AH445" s="69"/>
      <c r="AI445" s="9"/>
      <c r="AJ445" s="16"/>
      <c r="AK445" s="78"/>
      <c r="AL445" s="9"/>
      <c r="AM445" s="69"/>
      <c r="AN445" s="57"/>
      <c r="AO445" s="9"/>
      <c r="AP445" s="60"/>
      <c r="AQ445" s="69" t="s">
        <v>38</v>
      </c>
      <c r="AR445" s="9">
        <v>2.3684834973160003</v>
      </c>
      <c r="AS445" s="69" t="s">
        <v>38</v>
      </c>
      <c r="AT445" s="9">
        <v>2.3684834973160003</v>
      </c>
      <c r="AU445" s="289" t="s">
        <v>38</v>
      </c>
      <c r="AV445" s="9">
        <v>3</v>
      </c>
      <c r="AW445" s="69" t="s">
        <v>126</v>
      </c>
      <c r="AX445" s="9">
        <v>42.054504919480003</v>
      </c>
      <c r="AY445" s="289" t="s">
        <v>126</v>
      </c>
      <c r="AZ445" s="9">
        <v>0.70090841532466674</v>
      </c>
      <c r="BA445" s="289" t="s">
        <v>38</v>
      </c>
      <c r="BB445" s="289" t="s">
        <v>126</v>
      </c>
      <c r="BC445" s="9">
        <v>4.2582940412285719</v>
      </c>
      <c r="BD445" s="78"/>
      <c r="BE445" s="78"/>
      <c r="BF445" s="9"/>
      <c r="BG445" s="78"/>
      <c r="BH445" s="16"/>
      <c r="BI445" s="9"/>
      <c r="BJ445" s="16"/>
      <c r="BK445" s="76"/>
      <c r="BL445" s="9"/>
      <c r="BM445" s="69"/>
      <c r="BN445" s="78"/>
      <c r="BO445" s="9"/>
    </row>
    <row r="446" spans="1:67" x14ac:dyDescent="0.45">
      <c r="A446" s="10">
        <v>416</v>
      </c>
      <c r="B446" s="10" t="s">
        <v>633</v>
      </c>
      <c r="C446" s="287" t="s">
        <v>2108</v>
      </c>
      <c r="D446" s="56" t="s">
        <v>2025</v>
      </c>
      <c r="E446" s="287" t="s">
        <v>2205</v>
      </c>
      <c r="F446" s="289" t="s">
        <v>1887</v>
      </c>
      <c r="G446" s="58" t="s">
        <v>2164</v>
      </c>
      <c r="H446" s="80" t="s">
        <v>1892</v>
      </c>
      <c r="I446" s="62">
        <v>129.60920164000001</v>
      </c>
      <c r="J446" s="62">
        <v>162.01150205000002</v>
      </c>
      <c r="K446" s="62">
        <v>147.78610187000001</v>
      </c>
      <c r="L446" s="49">
        <v>2005.5133474109582</v>
      </c>
      <c r="M446" s="49">
        <v>2127.5356789017637</v>
      </c>
      <c r="N446" s="49">
        <v>2230.4777132367017</v>
      </c>
      <c r="O446" s="61">
        <v>20.604829043286678</v>
      </c>
      <c r="P446" s="60"/>
      <c r="Q446" s="69" t="s">
        <v>38</v>
      </c>
      <c r="R446" s="9">
        <v>4.8882760491999999</v>
      </c>
      <c r="S446" s="69" t="s">
        <v>38</v>
      </c>
      <c r="T446" s="9">
        <v>9.7765520983999998</v>
      </c>
      <c r="U446" s="69" t="s">
        <v>38</v>
      </c>
      <c r="V446" s="9">
        <v>12</v>
      </c>
      <c r="W446" s="289" t="s">
        <v>126</v>
      </c>
      <c r="X446" s="9">
        <v>70.988968885600002</v>
      </c>
      <c r="Y446" s="289" t="s">
        <v>26</v>
      </c>
      <c r="Z446" s="9">
        <v>22.496552776750001</v>
      </c>
      <c r="AA446" s="69" t="s">
        <v>38</v>
      </c>
      <c r="AB446" s="69" t="s">
        <v>26</v>
      </c>
      <c r="AC446" s="9">
        <v>14.425486356477158</v>
      </c>
      <c r="AD446" s="289" t="s">
        <v>38</v>
      </c>
      <c r="AE446" s="289" t="s">
        <v>126</v>
      </c>
      <c r="AF446" s="9">
        <v>14.202279995203391</v>
      </c>
      <c r="AG446" s="69" t="s">
        <v>38</v>
      </c>
      <c r="AH446" s="69" t="s">
        <v>1772</v>
      </c>
      <c r="AI446" s="9">
        <v>13.467826939464286</v>
      </c>
      <c r="AJ446" s="69" t="s">
        <v>38</v>
      </c>
      <c r="AK446" s="56" t="s">
        <v>1520</v>
      </c>
      <c r="AL446" s="9">
        <v>13.242355811226417</v>
      </c>
      <c r="AM446" s="54" t="s">
        <v>92</v>
      </c>
      <c r="AN446" s="69" t="s">
        <v>126</v>
      </c>
      <c r="AO446" s="9">
        <v>12.682187553652952</v>
      </c>
      <c r="AP446" s="60"/>
      <c r="AQ446" s="69" t="s">
        <v>38</v>
      </c>
      <c r="AR446" s="9">
        <v>4.0328553183760008</v>
      </c>
      <c r="AS446" s="69" t="s">
        <v>38</v>
      </c>
      <c r="AT446" s="9">
        <v>4.0328553183760008</v>
      </c>
      <c r="AU446" s="63" t="s">
        <v>2450</v>
      </c>
      <c r="AV446" s="9">
        <v>3</v>
      </c>
      <c r="AW446" s="69" t="s">
        <v>126</v>
      </c>
      <c r="AX446" s="9">
        <v>91.985659551280008</v>
      </c>
      <c r="AY446" s="289" t="s">
        <v>126</v>
      </c>
      <c r="AZ446" s="9">
        <v>1.5330943258546668</v>
      </c>
      <c r="BA446" s="289" t="s">
        <v>38</v>
      </c>
      <c r="BB446" s="289" t="s">
        <v>126</v>
      </c>
      <c r="BC446" s="9">
        <v>8.2210840913714289</v>
      </c>
      <c r="BD446" s="289" t="s">
        <v>38</v>
      </c>
      <c r="BE446" s="289" t="s">
        <v>26</v>
      </c>
      <c r="BF446" s="9">
        <v>7.3849585650021057</v>
      </c>
      <c r="BG446" s="289" t="s">
        <v>38</v>
      </c>
      <c r="BH446" s="52" t="s">
        <v>1520</v>
      </c>
      <c r="BI446" s="9">
        <v>7.0978043438247633</v>
      </c>
      <c r="BJ446" s="54" t="s">
        <v>92</v>
      </c>
      <c r="BK446" s="289" t="s">
        <v>126</v>
      </c>
      <c r="BL446" s="9">
        <v>6.0599739938609529</v>
      </c>
      <c r="BM446" s="69" t="s">
        <v>38</v>
      </c>
      <c r="BN446" s="289" t="s">
        <v>1772</v>
      </c>
      <c r="BO446" s="9">
        <v>5.3896590134389486</v>
      </c>
    </row>
    <row r="447" spans="1:67" x14ac:dyDescent="0.45">
      <c r="A447" s="10">
        <v>417</v>
      </c>
      <c r="B447" s="10" t="s">
        <v>631</v>
      </c>
      <c r="C447" s="290" t="s">
        <v>1992</v>
      </c>
      <c r="D447" s="65"/>
      <c r="E447" s="80" t="s">
        <v>1892</v>
      </c>
      <c r="F447" s="287" t="s">
        <v>2211</v>
      </c>
      <c r="G447" s="242"/>
      <c r="H447" s="10"/>
      <c r="I447" s="62">
        <v>86.142701090000003</v>
      </c>
      <c r="J447" s="62">
        <v>147.78610187000001</v>
      </c>
      <c r="K447" s="62">
        <v>134.35100170000001</v>
      </c>
      <c r="L447" s="49">
        <v>1213.8240462840147</v>
      </c>
      <c r="M447" s="49">
        <v>1430.1952306419475</v>
      </c>
      <c r="N447" s="49">
        <v>1630.7485325045802</v>
      </c>
      <c r="O447" s="61">
        <v>17.298702947547607</v>
      </c>
      <c r="P447" s="60"/>
      <c r="Q447" s="51" t="s">
        <v>1484</v>
      </c>
      <c r="R447" s="9">
        <v>11.337124130799999</v>
      </c>
      <c r="S447" s="51" t="s">
        <v>6</v>
      </c>
      <c r="T447" s="9">
        <v>5.8587674846285713</v>
      </c>
      <c r="U447" s="51" t="s">
        <v>6</v>
      </c>
      <c r="V447" s="9">
        <v>12.856999999999999</v>
      </c>
      <c r="W447" s="290" t="s">
        <v>222</v>
      </c>
      <c r="X447" s="9">
        <v>52.685620653999997</v>
      </c>
      <c r="Y447" s="290" t="s">
        <v>222</v>
      </c>
      <c r="Z447" s="9">
        <v>21.952341939166665</v>
      </c>
      <c r="AA447" s="51" t="s">
        <v>6</v>
      </c>
      <c r="AB447" s="51" t="s">
        <v>182</v>
      </c>
      <c r="AC447" s="9">
        <v>10.194666620361739</v>
      </c>
      <c r="AD447" s="290" t="s">
        <v>6</v>
      </c>
      <c r="AE447" s="290" t="s">
        <v>222</v>
      </c>
      <c r="AF447" s="9">
        <v>9.4351173634148164</v>
      </c>
      <c r="AG447" s="51" t="s">
        <v>1484</v>
      </c>
      <c r="AH447" s="51" t="s">
        <v>182</v>
      </c>
      <c r="AI447" s="9">
        <v>9.1581330682816908</v>
      </c>
      <c r="AJ447" s="51" t="s">
        <v>6</v>
      </c>
      <c r="AK447" s="290" t="s">
        <v>5</v>
      </c>
      <c r="AL447" s="9">
        <v>8.9805566177917378</v>
      </c>
      <c r="AM447" s="51" t="s">
        <v>1484</v>
      </c>
      <c r="AN447" s="51" t="s">
        <v>222</v>
      </c>
      <c r="AO447" s="9">
        <v>8.4512169980344822</v>
      </c>
      <c r="AP447" s="60"/>
      <c r="AQ447" s="51" t="s">
        <v>1484</v>
      </c>
      <c r="AR447" s="9">
        <v>9.0629568220240007</v>
      </c>
      <c r="AS447" s="51" t="s">
        <v>6</v>
      </c>
      <c r="AT447" s="9">
        <v>1.8438261370040001</v>
      </c>
      <c r="AU447" s="290" t="s">
        <v>6</v>
      </c>
      <c r="AV447" s="9">
        <v>4</v>
      </c>
      <c r="AW447" s="51" t="s">
        <v>222</v>
      </c>
      <c r="AX447" s="9">
        <v>68.191306850200007</v>
      </c>
      <c r="AY447" s="290" t="s">
        <v>222</v>
      </c>
      <c r="AZ447" s="9">
        <v>1.1365217808366668</v>
      </c>
      <c r="BA447" s="290" t="s">
        <v>6</v>
      </c>
      <c r="BB447" s="290" t="s">
        <v>222</v>
      </c>
      <c r="BC447" s="9">
        <v>5.9905436815787505</v>
      </c>
      <c r="BD447" s="290" t="s">
        <v>6</v>
      </c>
      <c r="BE447" s="290" t="s">
        <v>182</v>
      </c>
      <c r="BF447" s="9">
        <v>5.8864261389142376</v>
      </c>
      <c r="BG447" s="290" t="s">
        <v>6</v>
      </c>
      <c r="BH447" s="51" t="s">
        <v>5</v>
      </c>
      <c r="BI447" s="9">
        <v>5.1266800125136367</v>
      </c>
      <c r="BJ447" s="51" t="s">
        <v>1484</v>
      </c>
      <c r="BK447" s="290" t="s">
        <v>222</v>
      </c>
      <c r="BL447" s="9">
        <v>3.9538402510433555</v>
      </c>
      <c r="BM447" s="51" t="s">
        <v>1484</v>
      </c>
      <c r="BN447" s="290" t="s">
        <v>182</v>
      </c>
      <c r="BO447" s="9">
        <v>3.9059101293442811</v>
      </c>
    </row>
    <row r="448" spans="1:67" x14ac:dyDescent="0.45">
      <c r="A448" s="10">
        <v>418</v>
      </c>
      <c r="B448" s="10" t="s">
        <v>628</v>
      </c>
      <c r="C448" s="288" t="s">
        <v>1993</v>
      </c>
      <c r="D448" s="65"/>
      <c r="E448" s="290" t="s">
        <v>2201</v>
      </c>
      <c r="F448" s="59" t="s">
        <v>2202</v>
      </c>
      <c r="G448" s="242"/>
      <c r="H448" s="10"/>
      <c r="I448" s="62">
        <v>116.17410147000001</v>
      </c>
      <c r="J448" s="62">
        <v>64.804600820000005</v>
      </c>
      <c r="K448" s="62">
        <v>127.23830161000001</v>
      </c>
      <c r="L448" s="49">
        <v>1054.924002397694</v>
      </c>
      <c r="M448" s="49">
        <v>971.751792287331</v>
      </c>
      <c r="N448" s="49">
        <v>909.9608160343023</v>
      </c>
      <c r="O448" s="61">
        <v>7.7437938740130381</v>
      </c>
      <c r="P448" s="60"/>
      <c r="Q448" s="15" t="s">
        <v>291</v>
      </c>
      <c r="R448" s="9">
        <v>5.6469640588000001</v>
      </c>
      <c r="S448" s="73" t="s">
        <v>121</v>
      </c>
      <c r="T448" s="9">
        <v>8.970446088200001</v>
      </c>
      <c r="U448" s="15" t="s">
        <v>291</v>
      </c>
      <c r="V448" s="9">
        <v>12.5</v>
      </c>
      <c r="W448" s="288" t="s">
        <v>238</v>
      </c>
      <c r="X448" s="9">
        <v>49.793122617400002</v>
      </c>
      <c r="Y448" s="288" t="s">
        <v>238</v>
      </c>
      <c r="Z448" s="9">
        <v>15.560350817937501</v>
      </c>
      <c r="AA448" s="73" t="s">
        <v>121</v>
      </c>
      <c r="AB448" s="73" t="s">
        <v>238</v>
      </c>
      <c r="AC448" s="9">
        <v>11.542116226634148</v>
      </c>
      <c r="AD448" s="64" t="s">
        <v>291</v>
      </c>
      <c r="AE448" s="288" t="s">
        <v>238</v>
      </c>
      <c r="AF448" s="9">
        <v>10.83721429325</v>
      </c>
      <c r="AG448" s="73" t="s">
        <v>121</v>
      </c>
      <c r="AH448" s="73" t="s">
        <v>1519</v>
      </c>
      <c r="AI448" s="9">
        <v>10.494690060264046</v>
      </c>
      <c r="AJ448" s="73" t="s">
        <v>121</v>
      </c>
      <c r="AK448" s="64" t="s">
        <v>120</v>
      </c>
      <c r="AL448" s="9">
        <v>10.346725754102565</v>
      </c>
      <c r="AM448" s="15" t="s">
        <v>291</v>
      </c>
      <c r="AN448" s="73" t="s">
        <v>1519</v>
      </c>
      <c r="AO448" s="9">
        <v>9.7196622011835458</v>
      </c>
      <c r="AP448" s="60"/>
      <c r="AQ448" s="15" t="s">
        <v>291</v>
      </c>
      <c r="AR448" s="9">
        <v>4.7756582977750002</v>
      </c>
      <c r="AS448" s="73" t="s">
        <v>121</v>
      </c>
      <c r="AT448" s="9">
        <v>3.7184739743980004</v>
      </c>
      <c r="AU448" s="64" t="s">
        <v>291</v>
      </c>
      <c r="AV448" s="9">
        <v>3.5</v>
      </c>
      <c r="AW448" s="73" t="s">
        <v>238</v>
      </c>
      <c r="AX448" s="9">
        <v>64.431059402620008</v>
      </c>
      <c r="AY448" s="288" t="s">
        <v>238</v>
      </c>
      <c r="AZ448" s="9">
        <v>1.0738509900436668</v>
      </c>
      <c r="BA448" s="288" t="s">
        <v>121</v>
      </c>
      <c r="BB448" s="288" t="s">
        <v>238</v>
      </c>
      <c r="BC448" s="9">
        <v>6.6095494709800011</v>
      </c>
      <c r="BD448" s="288" t="s">
        <v>121</v>
      </c>
      <c r="BE448" s="288" t="s">
        <v>1519</v>
      </c>
      <c r="BF448" s="9">
        <v>6.0971387019962506</v>
      </c>
      <c r="BG448" s="288" t="s">
        <v>121</v>
      </c>
      <c r="BH448" s="15" t="s">
        <v>120</v>
      </c>
      <c r="BI448" s="9">
        <v>5.9213752984791386</v>
      </c>
      <c r="BJ448" s="15" t="s">
        <v>291</v>
      </c>
      <c r="BK448" s="288" t="s">
        <v>238</v>
      </c>
      <c r="BL448" s="9">
        <v>5.8075347534239379</v>
      </c>
      <c r="BM448" s="15" t="s">
        <v>291</v>
      </c>
      <c r="BN448" s="288" t="s">
        <v>1519</v>
      </c>
      <c r="BO448" s="9">
        <v>5.2303545434192271</v>
      </c>
    </row>
    <row r="449" spans="1:67" x14ac:dyDescent="0.45">
      <c r="A449" s="10">
        <v>419</v>
      </c>
      <c r="B449" s="10" t="s">
        <v>122</v>
      </c>
      <c r="C449" s="288" t="s">
        <v>1993</v>
      </c>
      <c r="D449" s="65"/>
      <c r="E449" s="290" t="s">
        <v>2201</v>
      </c>
      <c r="F449" s="59" t="s">
        <v>2202</v>
      </c>
      <c r="G449" s="242"/>
      <c r="H449" s="10"/>
      <c r="I449" s="62">
        <v>186.51080236000001</v>
      </c>
      <c r="J449" s="62">
        <v>101.94870129</v>
      </c>
      <c r="K449" s="62">
        <v>168.33390213000001</v>
      </c>
      <c r="L449" s="49">
        <v>2443.3216019871461</v>
      </c>
      <c r="M449" s="49">
        <v>2171.8918018674303</v>
      </c>
      <c r="N449" s="49">
        <v>1976.6247410503352</v>
      </c>
      <c r="O449" s="61">
        <v>15.573703825905316</v>
      </c>
      <c r="P449" s="60"/>
      <c r="Q449" s="73" t="s">
        <v>206</v>
      </c>
      <c r="R449" s="9">
        <v>18.905037026560002</v>
      </c>
      <c r="S449" s="73" t="s">
        <v>206</v>
      </c>
      <c r="T449" s="9">
        <v>15.754197522133335</v>
      </c>
      <c r="U449" s="73" t="s">
        <v>121</v>
      </c>
      <c r="V449" s="9">
        <v>10</v>
      </c>
      <c r="W449" s="288" t="s">
        <v>197</v>
      </c>
      <c r="X449" s="9">
        <v>146.47842584080001</v>
      </c>
      <c r="Y449" s="288" t="s">
        <v>197</v>
      </c>
      <c r="Z449" s="9">
        <v>44.387401769939402</v>
      </c>
      <c r="AA449" s="73" t="s">
        <v>121</v>
      </c>
      <c r="AB449" s="73" t="s">
        <v>197</v>
      </c>
      <c r="AC449" s="9">
        <v>20.931196034345867</v>
      </c>
      <c r="AD449" s="288" t="s">
        <v>206</v>
      </c>
      <c r="AE449" s="288" t="s">
        <v>197</v>
      </c>
      <c r="AF449" s="9">
        <v>20.753645882861377</v>
      </c>
      <c r="AG449" s="73" t="s">
        <v>206</v>
      </c>
      <c r="AH449" s="15" t="s">
        <v>120</v>
      </c>
      <c r="AI449" s="9">
        <v>17.000943895533986</v>
      </c>
      <c r="AJ449" s="73" t="s">
        <v>121</v>
      </c>
      <c r="AK449" s="64" t="s">
        <v>120</v>
      </c>
      <c r="AL449" s="9">
        <v>15.757241207179488</v>
      </c>
      <c r="AM449" s="15"/>
      <c r="AN449" s="73"/>
      <c r="AO449" s="9"/>
      <c r="AP449" s="60"/>
      <c r="AQ449" s="73" t="s">
        <v>206</v>
      </c>
      <c r="AR449" s="9">
        <v>18.457411100896003</v>
      </c>
      <c r="AS449" s="73" t="s">
        <v>206</v>
      </c>
      <c r="AT449" s="9">
        <v>6.1524703669653347</v>
      </c>
      <c r="AU449" s="288" t="s">
        <v>121</v>
      </c>
      <c r="AV449" s="9">
        <v>3</v>
      </c>
      <c r="AW449" s="73" t="s">
        <v>197</v>
      </c>
      <c r="AX449" s="9">
        <v>190.12195359304002</v>
      </c>
      <c r="AY449" s="288" t="s">
        <v>197</v>
      </c>
      <c r="AZ449" s="9">
        <v>2.5349593812405335</v>
      </c>
      <c r="BA449" s="288" t="s">
        <v>121</v>
      </c>
      <c r="BB449" s="288" t="s">
        <v>197</v>
      </c>
      <c r="BC449" s="9">
        <v>12.470414345140002</v>
      </c>
      <c r="BD449" s="288" t="s">
        <v>206</v>
      </c>
      <c r="BE449" s="288" t="s">
        <v>197</v>
      </c>
      <c r="BF449" s="9">
        <v>12.469019147259743</v>
      </c>
      <c r="BG449" s="288" t="s">
        <v>206</v>
      </c>
      <c r="BH449" s="15" t="s">
        <v>120</v>
      </c>
      <c r="BI449" s="9">
        <v>9.2778688665461289</v>
      </c>
      <c r="BJ449" s="73" t="s">
        <v>121</v>
      </c>
      <c r="BK449" s="64" t="s">
        <v>120</v>
      </c>
      <c r="BL449" s="9">
        <v>8.9009834723882779</v>
      </c>
      <c r="BM449" s="15"/>
      <c r="BN449" s="78"/>
      <c r="BO449" s="9"/>
    </row>
    <row r="450" spans="1:67" x14ac:dyDescent="0.45">
      <c r="A450" s="10">
        <v>420</v>
      </c>
      <c r="B450" s="10" t="s">
        <v>624</v>
      </c>
      <c r="C450" s="79" t="s">
        <v>1983</v>
      </c>
      <c r="D450" s="65"/>
      <c r="E450" s="63" t="s">
        <v>2265</v>
      </c>
      <c r="F450" s="80" t="s">
        <v>2266</v>
      </c>
      <c r="G450" s="242"/>
      <c r="H450" s="10"/>
      <c r="I450" s="62">
        <v>97.20690123</v>
      </c>
      <c r="J450" s="62">
        <v>84.562101070000011</v>
      </c>
      <c r="K450" s="62">
        <v>113.01290143000001</v>
      </c>
      <c r="L450" s="49">
        <v>950.27432161254217</v>
      </c>
      <c r="M450" s="49">
        <v>952.06644561186954</v>
      </c>
      <c r="N450" s="49">
        <v>953.50257793979506</v>
      </c>
      <c r="O450" s="61">
        <v>8.8114902627607172</v>
      </c>
      <c r="P450" s="60"/>
      <c r="Q450" s="72" t="s">
        <v>225</v>
      </c>
      <c r="R450" s="9">
        <v>5.6659312590399997</v>
      </c>
      <c r="S450" s="15" t="s">
        <v>127</v>
      </c>
      <c r="T450" s="9">
        <v>6.8603450615000003</v>
      </c>
      <c r="U450" s="72" t="s">
        <v>225</v>
      </c>
      <c r="V450" s="9">
        <v>12.727</v>
      </c>
      <c r="W450" s="79" t="s">
        <v>103</v>
      </c>
      <c r="X450" s="9">
        <v>65.156554811799992</v>
      </c>
      <c r="Y450" s="79" t="s">
        <v>103</v>
      </c>
      <c r="Z450" s="9">
        <v>25.060213389153841</v>
      </c>
      <c r="AA450" s="15" t="s">
        <v>127</v>
      </c>
      <c r="AB450" s="72" t="s">
        <v>103</v>
      </c>
      <c r="AC450" s="9">
        <v>10.615873446571429</v>
      </c>
      <c r="AD450" s="64" t="s">
        <v>127</v>
      </c>
      <c r="AE450" s="79" t="s">
        <v>264</v>
      </c>
      <c r="AF450" s="9">
        <v>10.296827167650306</v>
      </c>
      <c r="AG450" s="15" t="s">
        <v>127</v>
      </c>
      <c r="AH450" s="14" t="s">
        <v>63</v>
      </c>
      <c r="AI450" s="9">
        <v>9.8711971673529426</v>
      </c>
      <c r="AJ450" s="72" t="s">
        <v>225</v>
      </c>
      <c r="AK450" s="79" t="s">
        <v>264</v>
      </c>
      <c r="AL450" s="9">
        <v>9.8682178453673046</v>
      </c>
      <c r="AM450" s="72" t="s">
        <v>225</v>
      </c>
      <c r="AN450" s="72" t="s">
        <v>103</v>
      </c>
      <c r="AO450" s="9">
        <v>9.6915793758</v>
      </c>
      <c r="AP450" s="60"/>
      <c r="AQ450" s="72" t="s">
        <v>225</v>
      </c>
      <c r="AR450" s="9">
        <v>4.7910691479700001</v>
      </c>
      <c r="AS450" s="15" t="s">
        <v>127</v>
      </c>
      <c r="AT450" s="9">
        <v>2.895534573985</v>
      </c>
      <c r="AU450" s="79" t="s">
        <v>225</v>
      </c>
      <c r="AV450" s="9">
        <v>3.6666666666666998</v>
      </c>
      <c r="AW450" s="72" t="s">
        <v>103</v>
      </c>
      <c r="AX450" s="9">
        <v>84.403521255339996</v>
      </c>
      <c r="AY450" s="79" t="s">
        <v>103</v>
      </c>
      <c r="AZ450" s="9">
        <v>1.2985157116206154</v>
      </c>
      <c r="BA450" s="79" t="s">
        <v>225</v>
      </c>
      <c r="BB450" s="79" t="s">
        <v>103</v>
      </c>
      <c r="BC450" s="9">
        <v>6.0187292642077184</v>
      </c>
      <c r="BD450" s="64" t="s">
        <v>127</v>
      </c>
      <c r="BE450" s="79" t="s">
        <v>103</v>
      </c>
      <c r="BF450" s="9">
        <v>5.3286088032791783</v>
      </c>
      <c r="BG450" s="79" t="s">
        <v>225</v>
      </c>
      <c r="BH450" s="72" t="s">
        <v>264</v>
      </c>
      <c r="BI450" s="9">
        <v>5.0485658994135116</v>
      </c>
      <c r="BJ450" s="72" t="s">
        <v>225</v>
      </c>
      <c r="BK450" s="65" t="s">
        <v>63</v>
      </c>
      <c r="BL450" s="9">
        <v>5.0267290431305431</v>
      </c>
      <c r="BM450" s="15" t="s">
        <v>127</v>
      </c>
      <c r="BN450" s="79" t="s">
        <v>264</v>
      </c>
      <c r="BO450" s="9">
        <v>4.7910691479700001</v>
      </c>
    </row>
    <row r="451" spans="1:67" x14ac:dyDescent="0.45">
      <c r="A451" s="10">
        <v>421</v>
      </c>
      <c r="B451" s="10" t="s">
        <v>621</v>
      </c>
      <c r="C451" s="79" t="s">
        <v>1983</v>
      </c>
      <c r="D451" s="65"/>
      <c r="E451" s="63" t="s">
        <v>2265</v>
      </c>
      <c r="F451" s="80" t="s">
        <v>2266</v>
      </c>
      <c r="G451" s="242"/>
      <c r="H451" s="10"/>
      <c r="I451" s="62">
        <v>146.20550185000002</v>
      </c>
      <c r="J451" s="62">
        <v>132.77040168000002</v>
      </c>
      <c r="K451" s="62">
        <v>147.78610187000001</v>
      </c>
      <c r="L451" s="49">
        <v>2048.0056357314979</v>
      </c>
      <c r="M451" s="49">
        <v>2018.9817160490625</v>
      </c>
      <c r="N451" s="49">
        <v>1996.0590124857649</v>
      </c>
      <c r="O451" s="61">
        <v>17.321798026237872</v>
      </c>
      <c r="P451" s="60"/>
      <c r="Q451" s="72" t="s">
        <v>64</v>
      </c>
      <c r="R451" s="9">
        <v>12.404029144300001</v>
      </c>
      <c r="S451" s="72" t="s">
        <v>64</v>
      </c>
      <c r="T451" s="9">
        <v>12.404029144300001</v>
      </c>
      <c r="U451" s="72" t="s">
        <v>225</v>
      </c>
      <c r="V451" s="9">
        <v>12.727</v>
      </c>
      <c r="W451" s="79" t="s">
        <v>9</v>
      </c>
      <c r="X451" s="9">
        <v>158.90194199800001</v>
      </c>
      <c r="Y451" s="79" t="s">
        <v>9</v>
      </c>
      <c r="Z451" s="9">
        <v>32.428967754693879</v>
      </c>
      <c r="AA451" s="72" t="s">
        <v>64</v>
      </c>
      <c r="AB451" s="72" t="s">
        <v>9</v>
      </c>
      <c r="AC451" s="9">
        <v>17.334792922738696</v>
      </c>
      <c r="AD451" s="79" t="s">
        <v>225</v>
      </c>
      <c r="AE451" s="79" t="s">
        <v>9</v>
      </c>
      <c r="AF451" s="9">
        <v>16.280646329080291</v>
      </c>
      <c r="AG451" s="72" t="s">
        <v>64</v>
      </c>
      <c r="AH451" s="15" t="s">
        <v>112</v>
      </c>
      <c r="AI451" s="9">
        <v>15.782689550638299</v>
      </c>
      <c r="AJ451" s="72" t="s">
        <v>64</v>
      </c>
      <c r="AK451" s="65" t="s">
        <v>63</v>
      </c>
      <c r="AL451" s="9">
        <v>15.287526358255036</v>
      </c>
      <c r="AM451" s="72" t="s">
        <v>225</v>
      </c>
      <c r="AN451" s="15" t="s">
        <v>112</v>
      </c>
      <c r="AO451" s="9">
        <v>13.872780880785715</v>
      </c>
      <c r="AP451" s="60"/>
      <c r="AQ451" s="72" t="s">
        <v>64</v>
      </c>
      <c r="AR451" s="9">
        <v>13.544432058730003</v>
      </c>
      <c r="AS451" s="72" t="s">
        <v>64</v>
      </c>
      <c r="AT451" s="9">
        <v>6.7722160293650013</v>
      </c>
      <c r="AU451" s="79" t="s">
        <v>225</v>
      </c>
      <c r="AV451" s="9">
        <v>3.6666666666666998</v>
      </c>
      <c r="AW451" s="72" t="s">
        <v>9</v>
      </c>
      <c r="AX451" s="9">
        <v>172.06043716450003</v>
      </c>
      <c r="AY451" s="79" t="s">
        <v>9</v>
      </c>
      <c r="AZ451" s="9">
        <v>2.1507554645562506</v>
      </c>
      <c r="BA451" s="79" t="s">
        <v>64</v>
      </c>
      <c r="BB451" s="79" t="s">
        <v>9</v>
      </c>
      <c r="BC451" s="9">
        <v>10.803636057051222</v>
      </c>
      <c r="BD451" s="79" t="s">
        <v>64</v>
      </c>
      <c r="BE451" s="64" t="s">
        <v>112</v>
      </c>
      <c r="BF451" s="9">
        <v>10.108268426301221</v>
      </c>
      <c r="BG451" s="79" t="s">
        <v>225</v>
      </c>
      <c r="BH451" s="72" t="s">
        <v>9</v>
      </c>
      <c r="BI451" s="9">
        <v>9.6765975082928311</v>
      </c>
      <c r="BJ451" s="72" t="s">
        <v>64</v>
      </c>
      <c r="BK451" s="65" t="s">
        <v>63</v>
      </c>
      <c r="BL451" s="9">
        <v>9.5156804125145857</v>
      </c>
      <c r="BM451" s="72" t="s">
        <v>225</v>
      </c>
      <c r="BN451" s="64" t="s">
        <v>112</v>
      </c>
      <c r="BO451" s="9">
        <v>8.4271520841165355</v>
      </c>
    </row>
    <row r="452" spans="1:67" x14ac:dyDescent="0.45">
      <c r="A452" s="10">
        <v>421</v>
      </c>
      <c r="B452" s="10" t="s">
        <v>248</v>
      </c>
      <c r="C452" s="79" t="s">
        <v>1983</v>
      </c>
      <c r="D452" s="65"/>
      <c r="E452" s="63" t="s">
        <v>2265</v>
      </c>
      <c r="F452" s="80" t="s">
        <v>2266</v>
      </c>
      <c r="G452" s="242"/>
      <c r="H452" s="10"/>
      <c r="I452" s="62">
        <v>146.20550185000002</v>
      </c>
      <c r="J452" s="62">
        <v>132.77040168000002</v>
      </c>
      <c r="K452" s="62">
        <v>147.78610187000001</v>
      </c>
      <c r="L452" s="49">
        <v>2048.0056357314979</v>
      </c>
      <c r="M452" s="49">
        <v>2018.9817160490625</v>
      </c>
      <c r="N452" s="49">
        <v>1996.0590124857649</v>
      </c>
      <c r="O452" s="61">
        <v>17.321798026237872</v>
      </c>
      <c r="P452" s="60"/>
      <c r="Q452" s="72" t="s">
        <v>64</v>
      </c>
      <c r="R452" s="9">
        <v>12.404029144300001</v>
      </c>
      <c r="S452" s="72" t="s">
        <v>64</v>
      </c>
      <c r="T452" s="9">
        <v>12.404029144300001</v>
      </c>
      <c r="U452" s="72" t="s">
        <v>225</v>
      </c>
      <c r="V452" s="9">
        <v>12.727</v>
      </c>
      <c r="W452" s="79" t="s">
        <v>9</v>
      </c>
      <c r="X452" s="9">
        <v>158.90194199800001</v>
      </c>
      <c r="Y452" s="79" t="s">
        <v>9</v>
      </c>
      <c r="Z452" s="9">
        <v>32.428967754693879</v>
      </c>
      <c r="AA452" s="72" t="s">
        <v>64</v>
      </c>
      <c r="AB452" s="72" t="s">
        <v>9</v>
      </c>
      <c r="AC452" s="9">
        <v>17.334792922738696</v>
      </c>
      <c r="AD452" s="79" t="s">
        <v>225</v>
      </c>
      <c r="AE452" s="79" t="s">
        <v>9</v>
      </c>
      <c r="AF452" s="9">
        <v>16.280646329080291</v>
      </c>
      <c r="AG452" s="72" t="s">
        <v>64</v>
      </c>
      <c r="AH452" s="15" t="s">
        <v>112</v>
      </c>
      <c r="AI452" s="9">
        <v>15.782689550638299</v>
      </c>
      <c r="AJ452" s="72" t="s">
        <v>64</v>
      </c>
      <c r="AK452" s="65" t="s">
        <v>63</v>
      </c>
      <c r="AL452" s="9">
        <v>15.287526358255036</v>
      </c>
      <c r="AM452" s="72" t="s">
        <v>225</v>
      </c>
      <c r="AN452" s="15" t="s">
        <v>112</v>
      </c>
      <c r="AO452" s="9">
        <v>13.872780880785715</v>
      </c>
      <c r="AP452" s="60"/>
      <c r="AQ452" s="72" t="s">
        <v>64</v>
      </c>
      <c r="AR452" s="9">
        <v>13.544432058730003</v>
      </c>
      <c r="AS452" s="72" t="s">
        <v>64</v>
      </c>
      <c r="AT452" s="9">
        <v>6.7722160293650013</v>
      </c>
      <c r="AU452" s="79" t="s">
        <v>225</v>
      </c>
      <c r="AV452" s="9">
        <v>3.6666666666666998</v>
      </c>
      <c r="AW452" s="72" t="s">
        <v>9</v>
      </c>
      <c r="AX452" s="9">
        <v>172.06043716450003</v>
      </c>
      <c r="AY452" s="79" t="s">
        <v>9</v>
      </c>
      <c r="AZ452" s="9">
        <v>2.1507554645562506</v>
      </c>
      <c r="BA452" s="79" t="s">
        <v>64</v>
      </c>
      <c r="BB452" s="79" t="s">
        <v>9</v>
      </c>
      <c r="BC452" s="9">
        <v>10.803636057051222</v>
      </c>
      <c r="BD452" s="79" t="s">
        <v>64</v>
      </c>
      <c r="BE452" s="64" t="s">
        <v>112</v>
      </c>
      <c r="BF452" s="9">
        <v>10.108268426301221</v>
      </c>
      <c r="BG452" s="79" t="s">
        <v>225</v>
      </c>
      <c r="BH452" s="72" t="s">
        <v>9</v>
      </c>
      <c r="BI452" s="9">
        <v>9.6765975082928311</v>
      </c>
      <c r="BJ452" s="72" t="s">
        <v>64</v>
      </c>
      <c r="BK452" s="65" t="s">
        <v>63</v>
      </c>
      <c r="BL452" s="9">
        <v>9.5156804125145857</v>
      </c>
      <c r="BM452" s="72" t="s">
        <v>225</v>
      </c>
      <c r="BN452" s="64" t="s">
        <v>112</v>
      </c>
      <c r="BO452" s="9">
        <v>8.4271520841165355</v>
      </c>
    </row>
    <row r="453" spans="1:67" x14ac:dyDescent="0.45">
      <c r="A453" s="10">
        <v>422</v>
      </c>
      <c r="B453" s="10" t="s">
        <v>617</v>
      </c>
      <c r="C453" s="288" t="s">
        <v>1993</v>
      </c>
      <c r="D453" s="65"/>
      <c r="E453" s="290" t="s">
        <v>2201</v>
      </c>
      <c r="F453" s="59" t="s">
        <v>2202</v>
      </c>
      <c r="G453" s="242"/>
      <c r="H453" s="10"/>
      <c r="I453" s="62">
        <v>93.255401180000007</v>
      </c>
      <c r="J453" s="62">
        <v>94.836001200000013</v>
      </c>
      <c r="K453" s="62">
        <v>156.47940198000001</v>
      </c>
      <c r="L453" s="49">
        <v>1136.0284306792862</v>
      </c>
      <c r="M453" s="49">
        <v>1241.8513219238964</v>
      </c>
      <c r="N453" s="49">
        <v>1333.5641958562551</v>
      </c>
      <c r="O453" s="61">
        <v>13.554432570435431</v>
      </c>
      <c r="P453" s="60"/>
      <c r="Q453" s="71" t="s">
        <v>3464</v>
      </c>
      <c r="R453" s="9">
        <v>9.3929861062000004</v>
      </c>
      <c r="S453" s="71" t="s">
        <v>80</v>
      </c>
      <c r="T453" s="9">
        <v>6.7092757901428577</v>
      </c>
      <c r="U453" s="71" t="s">
        <v>2808</v>
      </c>
      <c r="V453" s="9">
        <v>10</v>
      </c>
      <c r="W453" s="288" t="s">
        <v>238</v>
      </c>
      <c r="X453" s="9">
        <v>40.167268495599998</v>
      </c>
      <c r="Y453" s="64" t="s">
        <v>1480</v>
      </c>
      <c r="Z453" s="9">
        <v>12.796763313157896</v>
      </c>
      <c r="AA453" s="71" t="s">
        <v>80</v>
      </c>
      <c r="AB453" s="73" t="s">
        <v>238</v>
      </c>
      <c r="AC453" s="9">
        <v>8.7791192551402215</v>
      </c>
      <c r="AD453" s="288" t="s">
        <v>1499</v>
      </c>
      <c r="AE453" s="288" t="s">
        <v>238</v>
      </c>
      <c r="AF453" s="9">
        <v>8.7167344125528441</v>
      </c>
      <c r="AG453" s="71" t="s">
        <v>80</v>
      </c>
      <c r="AH453" s="15" t="s">
        <v>1480</v>
      </c>
      <c r="AI453" s="9">
        <v>8.7072803322456824</v>
      </c>
      <c r="AJ453" s="73" t="s">
        <v>1499</v>
      </c>
      <c r="AK453" s="64" t="s">
        <v>1480</v>
      </c>
      <c r="AL453" s="9">
        <v>8.6344877872399159</v>
      </c>
      <c r="AM453" s="71" t="s">
        <v>80</v>
      </c>
      <c r="AN453" s="71" t="s">
        <v>99</v>
      </c>
      <c r="AO453" s="9">
        <v>8.5212167069210061</v>
      </c>
      <c r="AP453" s="60"/>
      <c r="AQ453" s="71" t="s">
        <v>80</v>
      </c>
      <c r="AR453" s="9">
        <v>7.6677611843700006</v>
      </c>
      <c r="AS453" s="71" t="s">
        <v>80</v>
      </c>
      <c r="AT453" s="9">
        <v>2.5559203947900002</v>
      </c>
      <c r="AU453" s="80" t="s">
        <v>2515</v>
      </c>
      <c r="AV453" s="9">
        <v>2.6666666666666998</v>
      </c>
      <c r="AW453" s="73" t="s">
        <v>238</v>
      </c>
      <c r="AX453" s="9">
        <v>51.917449044280005</v>
      </c>
      <c r="AY453" s="64" t="s">
        <v>1480</v>
      </c>
      <c r="AZ453" s="9">
        <v>1.0677030417200002</v>
      </c>
      <c r="BA453" s="80" t="s">
        <v>80</v>
      </c>
      <c r="BB453" s="64" t="s">
        <v>1480</v>
      </c>
      <c r="BC453" s="9">
        <v>5.0206061339340717</v>
      </c>
      <c r="BD453" s="288" t="s">
        <v>1499</v>
      </c>
      <c r="BE453" s="64" t="s">
        <v>1480</v>
      </c>
      <c r="BF453" s="9">
        <v>4.9830563927509735</v>
      </c>
      <c r="BG453" s="80" t="s">
        <v>80</v>
      </c>
      <c r="BH453" s="73" t="s">
        <v>238</v>
      </c>
      <c r="BI453" s="9">
        <v>4.6564109756193623</v>
      </c>
      <c r="BJ453" s="71" t="s">
        <v>1518</v>
      </c>
      <c r="BK453" s="64" t="s">
        <v>1480</v>
      </c>
      <c r="BL453" s="9">
        <v>4.6451087221030978</v>
      </c>
      <c r="BM453" s="52" t="s">
        <v>1500</v>
      </c>
      <c r="BN453" s="64" t="s">
        <v>1480</v>
      </c>
      <c r="BO453" s="9">
        <v>4.6451087221030978</v>
      </c>
    </row>
    <row r="454" spans="1:67" x14ac:dyDescent="0.45">
      <c r="A454" s="10">
        <v>422</v>
      </c>
      <c r="B454" s="10" t="s">
        <v>618</v>
      </c>
      <c r="C454" s="288" t="s">
        <v>1993</v>
      </c>
      <c r="D454" s="65"/>
      <c r="E454" s="290" t="s">
        <v>2201</v>
      </c>
      <c r="F454" s="59" t="s">
        <v>2202</v>
      </c>
      <c r="G454" s="242"/>
      <c r="H454" s="10"/>
      <c r="I454" s="62">
        <v>93.255401180000007</v>
      </c>
      <c r="J454" s="62">
        <v>94.836001200000013</v>
      </c>
      <c r="K454" s="62">
        <v>156.47940198000001</v>
      </c>
      <c r="L454" s="49">
        <v>1136.0284306792862</v>
      </c>
      <c r="M454" s="49">
        <v>1241.8513219238964</v>
      </c>
      <c r="N454" s="49">
        <v>1333.5641958562551</v>
      </c>
      <c r="O454" s="61">
        <v>13.554432570435431</v>
      </c>
      <c r="P454" s="60"/>
      <c r="Q454" s="71" t="s">
        <v>3464</v>
      </c>
      <c r="R454" s="9">
        <v>9.3929861062000004</v>
      </c>
      <c r="S454" s="71" t="s">
        <v>80</v>
      </c>
      <c r="T454" s="9">
        <v>6.7092757901428577</v>
      </c>
      <c r="U454" s="71" t="s">
        <v>2808</v>
      </c>
      <c r="V454" s="9">
        <v>10</v>
      </c>
      <c r="W454" s="288" t="s">
        <v>238</v>
      </c>
      <c r="X454" s="9">
        <v>40.167268495599998</v>
      </c>
      <c r="Y454" s="64" t="s">
        <v>1480</v>
      </c>
      <c r="Z454" s="9">
        <v>12.796763313157896</v>
      </c>
      <c r="AA454" s="71" t="s">
        <v>80</v>
      </c>
      <c r="AB454" s="73" t="s">
        <v>238</v>
      </c>
      <c r="AC454" s="9">
        <v>8.7791192551402215</v>
      </c>
      <c r="AD454" s="288" t="s">
        <v>1499</v>
      </c>
      <c r="AE454" s="288" t="s">
        <v>238</v>
      </c>
      <c r="AF454" s="9">
        <v>8.7167344125528441</v>
      </c>
      <c r="AG454" s="71" t="s">
        <v>80</v>
      </c>
      <c r="AH454" s="15" t="s">
        <v>1480</v>
      </c>
      <c r="AI454" s="9">
        <v>8.7072803322456824</v>
      </c>
      <c r="AJ454" s="73" t="s">
        <v>1499</v>
      </c>
      <c r="AK454" s="64" t="s">
        <v>1480</v>
      </c>
      <c r="AL454" s="9">
        <v>8.6344877872399159</v>
      </c>
      <c r="AM454" s="71" t="s">
        <v>80</v>
      </c>
      <c r="AN454" s="71" t="s">
        <v>99</v>
      </c>
      <c r="AO454" s="9">
        <v>8.5212167069210061</v>
      </c>
      <c r="AP454" s="60"/>
      <c r="AQ454" s="71" t="s">
        <v>80</v>
      </c>
      <c r="AR454" s="9">
        <v>7.6677611843700006</v>
      </c>
      <c r="AS454" s="71" t="s">
        <v>80</v>
      </c>
      <c r="AT454" s="9">
        <v>2.5559203947900002</v>
      </c>
      <c r="AU454" s="80" t="s">
        <v>2515</v>
      </c>
      <c r="AV454" s="9">
        <v>2.6666666666666998</v>
      </c>
      <c r="AW454" s="73" t="s">
        <v>238</v>
      </c>
      <c r="AX454" s="9">
        <v>51.917449044280005</v>
      </c>
      <c r="AY454" s="64" t="s">
        <v>1480</v>
      </c>
      <c r="AZ454" s="9">
        <v>1.0677030417200002</v>
      </c>
      <c r="BA454" s="80" t="s">
        <v>80</v>
      </c>
      <c r="BB454" s="64" t="s">
        <v>1480</v>
      </c>
      <c r="BC454" s="9">
        <v>5.0206061339340717</v>
      </c>
      <c r="BD454" s="288" t="s">
        <v>1499</v>
      </c>
      <c r="BE454" s="64" t="s">
        <v>1480</v>
      </c>
      <c r="BF454" s="9">
        <v>4.9830563927509735</v>
      </c>
      <c r="BG454" s="80" t="s">
        <v>80</v>
      </c>
      <c r="BH454" s="73" t="s">
        <v>238</v>
      </c>
      <c r="BI454" s="9">
        <v>4.6564109756193623</v>
      </c>
      <c r="BJ454" s="71" t="s">
        <v>1518</v>
      </c>
      <c r="BK454" s="64" t="s">
        <v>1480</v>
      </c>
      <c r="BL454" s="9">
        <v>4.6451087221030978</v>
      </c>
      <c r="BM454" s="52" t="s">
        <v>1500</v>
      </c>
      <c r="BN454" s="64" t="s">
        <v>1480</v>
      </c>
      <c r="BO454" s="9">
        <v>4.6451087221030978</v>
      </c>
    </row>
    <row r="455" spans="1:67" x14ac:dyDescent="0.45">
      <c r="A455" s="10">
        <v>423</v>
      </c>
      <c r="B455" s="10" t="s">
        <v>615</v>
      </c>
      <c r="C455" s="80" t="s">
        <v>2146</v>
      </c>
      <c r="D455" s="79" t="s">
        <v>1983</v>
      </c>
      <c r="E455" s="58"/>
      <c r="F455" s="63" t="s">
        <v>2292</v>
      </c>
      <c r="G455" s="242"/>
      <c r="H455" s="10"/>
      <c r="I455" s="62">
        <v>145.41520184000001</v>
      </c>
      <c r="J455" s="62">
        <v>124.86740158000001</v>
      </c>
      <c r="K455" s="62">
        <v>204.68770259000001</v>
      </c>
      <c r="L455" s="49">
        <v>2324.7712352569247</v>
      </c>
      <c r="M455" s="49">
        <v>2399.3876781046115</v>
      </c>
      <c r="N455" s="49">
        <v>2460.8015116301835</v>
      </c>
      <c r="O455" s="61">
        <v>22.721630586763347</v>
      </c>
      <c r="P455" s="60"/>
      <c r="Q455" s="71" t="s">
        <v>80</v>
      </c>
      <c r="R455" s="9">
        <v>16.70484179872</v>
      </c>
      <c r="S455" s="71" t="s">
        <v>80</v>
      </c>
      <c r="T455" s="9">
        <v>11.932029856228572</v>
      </c>
      <c r="U455" s="71" t="s">
        <v>2808</v>
      </c>
      <c r="V455" s="9">
        <v>10</v>
      </c>
      <c r="W455" s="80" t="s">
        <v>79</v>
      </c>
      <c r="X455" s="9">
        <v>123.1487695456</v>
      </c>
      <c r="Y455" s="80" t="s">
        <v>79</v>
      </c>
      <c r="Z455" s="9">
        <v>34.207991540444446</v>
      </c>
      <c r="AA455" s="71" t="s">
        <v>80</v>
      </c>
      <c r="AB455" s="71" t="s">
        <v>79</v>
      </c>
      <c r="AC455" s="9">
        <v>16.882243563832098</v>
      </c>
      <c r="AD455" s="80" t="s">
        <v>80</v>
      </c>
      <c r="AE455" s="80" t="s">
        <v>153</v>
      </c>
      <c r="AF455" s="9">
        <v>16.733494197738516</v>
      </c>
      <c r="AG455" s="71" t="s">
        <v>1518</v>
      </c>
      <c r="AH455" s="71" t="s">
        <v>79</v>
      </c>
      <c r="AI455" s="9">
        <v>15.727684163460994</v>
      </c>
      <c r="AJ455" s="73" t="s">
        <v>1499</v>
      </c>
      <c r="AK455" s="80" t="s">
        <v>79</v>
      </c>
      <c r="AL455" s="9">
        <v>15.727684163460994</v>
      </c>
      <c r="AM455" s="71" t="s">
        <v>1518</v>
      </c>
      <c r="AN455" s="71" t="s">
        <v>153</v>
      </c>
      <c r="AO455" s="9">
        <v>15.721745928992251</v>
      </c>
      <c r="AP455" s="60"/>
      <c r="AQ455" s="71" t="s">
        <v>80</v>
      </c>
      <c r="AR455" s="9">
        <v>13.476624317872002</v>
      </c>
      <c r="AS455" s="71" t="s">
        <v>80</v>
      </c>
      <c r="AT455" s="9">
        <v>4.4922081059573342</v>
      </c>
      <c r="AU455" s="80" t="s">
        <v>2515</v>
      </c>
      <c r="AV455" s="9">
        <v>2.6666666666666998</v>
      </c>
      <c r="AW455" s="71" t="s">
        <v>79</v>
      </c>
      <c r="AX455" s="9">
        <v>137.10862892224</v>
      </c>
      <c r="AY455" s="80" t="s">
        <v>79</v>
      </c>
      <c r="AZ455" s="9">
        <v>2.1093635218806153</v>
      </c>
      <c r="BA455" s="80" t="s">
        <v>80</v>
      </c>
      <c r="BB455" s="80" t="s">
        <v>79</v>
      </c>
      <c r="BC455" s="9">
        <v>9.7184709952689659</v>
      </c>
      <c r="BD455" s="80" t="s">
        <v>80</v>
      </c>
      <c r="BE455" s="80" t="s">
        <v>153</v>
      </c>
      <c r="BF455" s="9">
        <v>9.0512491966265891</v>
      </c>
      <c r="BG455" s="80" t="s">
        <v>1518</v>
      </c>
      <c r="BH455" s="71" t="s">
        <v>79</v>
      </c>
      <c r="BI455" s="9">
        <v>8.9921113171125118</v>
      </c>
      <c r="BJ455" s="73" t="s">
        <v>1499</v>
      </c>
      <c r="BK455" s="80" t="s">
        <v>79</v>
      </c>
      <c r="BL455" s="9">
        <v>8.9921113171125118</v>
      </c>
      <c r="BM455" s="52" t="s">
        <v>1500</v>
      </c>
      <c r="BN455" s="80" t="s">
        <v>79</v>
      </c>
      <c r="BO455" s="9">
        <v>8.4473415584951717</v>
      </c>
    </row>
    <row r="456" spans="1:67" x14ac:dyDescent="0.45">
      <c r="A456" s="10">
        <v>423</v>
      </c>
      <c r="B456" s="10" t="s">
        <v>247</v>
      </c>
      <c r="C456" s="80" t="s">
        <v>2146</v>
      </c>
      <c r="D456" s="79" t="s">
        <v>1983</v>
      </c>
      <c r="E456" s="58"/>
      <c r="F456" s="63" t="s">
        <v>2292</v>
      </c>
      <c r="G456" s="242"/>
      <c r="H456" s="10"/>
      <c r="I456" s="62">
        <v>145.41520184000001</v>
      </c>
      <c r="J456" s="62">
        <v>124.86740158000001</v>
      </c>
      <c r="K456" s="62">
        <v>204.68770259000001</v>
      </c>
      <c r="L456" s="49">
        <v>2324.7712352569247</v>
      </c>
      <c r="M456" s="49">
        <v>2399.3876781046115</v>
      </c>
      <c r="N456" s="49">
        <v>2460.8015116301835</v>
      </c>
      <c r="O456" s="61">
        <v>22.721630586763347</v>
      </c>
      <c r="P456" s="60"/>
      <c r="Q456" s="71" t="s">
        <v>80</v>
      </c>
      <c r="R456" s="9">
        <v>16.70484179872</v>
      </c>
      <c r="S456" s="71" t="s">
        <v>80</v>
      </c>
      <c r="T456" s="9">
        <v>11.932029856228572</v>
      </c>
      <c r="U456" s="71" t="s">
        <v>2808</v>
      </c>
      <c r="V456" s="9">
        <v>10</v>
      </c>
      <c r="W456" s="80" t="s">
        <v>79</v>
      </c>
      <c r="X456" s="9">
        <v>123.1487695456</v>
      </c>
      <c r="Y456" s="80" t="s">
        <v>79</v>
      </c>
      <c r="Z456" s="9">
        <v>34.207991540444446</v>
      </c>
      <c r="AA456" s="71" t="s">
        <v>80</v>
      </c>
      <c r="AB456" s="71" t="s">
        <v>79</v>
      </c>
      <c r="AC456" s="9">
        <v>16.882243563832098</v>
      </c>
      <c r="AD456" s="80" t="s">
        <v>80</v>
      </c>
      <c r="AE456" s="80" t="s">
        <v>153</v>
      </c>
      <c r="AF456" s="9">
        <v>16.733494197738516</v>
      </c>
      <c r="AG456" s="71" t="s">
        <v>1518</v>
      </c>
      <c r="AH456" s="71" t="s">
        <v>79</v>
      </c>
      <c r="AI456" s="9">
        <v>15.727684163460994</v>
      </c>
      <c r="AJ456" s="73" t="s">
        <v>1499</v>
      </c>
      <c r="AK456" s="80" t="s">
        <v>79</v>
      </c>
      <c r="AL456" s="9">
        <v>15.727684163460994</v>
      </c>
      <c r="AM456" s="71" t="s">
        <v>1518</v>
      </c>
      <c r="AN456" s="71" t="s">
        <v>153</v>
      </c>
      <c r="AO456" s="9">
        <v>15.721745928992251</v>
      </c>
      <c r="AP456" s="60"/>
      <c r="AQ456" s="71" t="s">
        <v>80</v>
      </c>
      <c r="AR456" s="9">
        <v>13.476624317872002</v>
      </c>
      <c r="AS456" s="71" t="s">
        <v>80</v>
      </c>
      <c r="AT456" s="9">
        <v>4.4922081059573342</v>
      </c>
      <c r="AU456" s="80" t="s">
        <v>2515</v>
      </c>
      <c r="AV456" s="9">
        <v>2.6666666666666998</v>
      </c>
      <c r="AW456" s="71" t="s">
        <v>79</v>
      </c>
      <c r="AX456" s="9">
        <v>137.10862892224</v>
      </c>
      <c r="AY456" s="80" t="s">
        <v>79</v>
      </c>
      <c r="AZ456" s="9">
        <v>2.1093635218806153</v>
      </c>
      <c r="BA456" s="80" t="s">
        <v>80</v>
      </c>
      <c r="BB456" s="80" t="s">
        <v>79</v>
      </c>
      <c r="BC456" s="9">
        <v>9.7184709952689659</v>
      </c>
      <c r="BD456" s="80" t="s">
        <v>80</v>
      </c>
      <c r="BE456" s="80" t="s">
        <v>153</v>
      </c>
      <c r="BF456" s="9">
        <v>9.0512491966265891</v>
      </c>
      <c r="BG456" s="80" t="s">
        <v>1518</v>
      </c>
      <c r="BH456" s="71" t="s">
        <v>79</v>
      </c>
      <c r="BI456" s="9">
        <v>8.9921113171125118</v>
      </c>
      <c r="BJ456" s="73" t="s">
        <v>1499</v>
      </c>
      <c r="BK456" s="80" t="s">
        <v>79</v>
      </c>
      <c r="BL456" s="9">
        <v>8.9921113171125118</v>
      </c>
      <c r="BM456" s="52" t="s">
        <v>1500</v>
      </c>
      <c r="BN456" s="80" t="s">
        <v>79</v>
      </c>
      <c r="BO456" s="9">
        <v>8.4473415584951717</v>
      </c>
    </row>
    <row r="457" spans="1:67" x14ac:dyDescent="0.45">
      <c r="A457" s="10">
        <v>424</v>
      </c>
      <c r="B457" s="10" t="s">
        <v>278</v>
      </c>
      <c r="C457" s="64" t="s">
        <v>1889</v>
      </c>
      <c r="D457" s="65"/>
      <c r="E457" s="58" t="s">
        <v>1903</v>
      </c>
      <c r="F457" s="77"/>
      <c r="G457" s="77" t="s">
        <v>1888</v>
      </c>
      <c r="H457" s="10"/>
      <c r="I457" s="62">
        <v>173.86600220000003</v>
      </c>
      <c r="J457" s="62">
        <v>124.86740158000001</v>
      </c>
      <c r="K457" s="62">
        <v>154.89880196000001</v>
      </c>
      <c r="L457" s="49">
        <v>2418.0386304621638</v>
      </c>
      <c r="M457" s="49">
        <v>2244.6115894865916</v>
      </c>
      <c r="N457" s="49">
        <v>2114.8694992983988</v>
      </c>
      <c r="O457" s="61">
        <v>17.194747471064154</v>
      </c>
      <c r="P457" s="60"/>
      <c r="Q457" s="68" t="s">
        <v>277</v>
      </c>
      <c r="R457" s="9">
        <v>7.9546400880000014</v>
      </c>
      <c r="S457" s="15" t="s">
        <v>1489</v>
      </c>
      <c r="T457" s="9">
        <v>14.518352158400001</v>
      </c>
      <c r="U457" s="68" t="s">
        <v>277</v>
      </c>
      <c r="V457" s="9">
        <v>12.727</v>
      </c>
      <c r="W457" s="64" t="s">
        <v>112</v>
      </c>
      <c r="X457" s="9">
        <v>157.47940198000001</v>
      </c>
      <c r="Y457" s="64" t="s">
        <v>112</v>
      </c>
      <c r="Z457" s="9">
        <v>41.441947889473688</v>
      </c>
      <c r="AA457" s="15" t="s">
        <v>1489</v>
      </c>
      <c r="AB457" s="15" t="s">
        <v>112</v>
      </c>
      <c r="AC457" s="9">
        <v>20.795018647852761</v>
      </c>
      <c r="AD457" s="77" t="s">
        <v>277</v>
      </c>
      <c r="AE457" s="64" t="s">
        <v>112</v>
      </c>
      <c r="AF457" s="9">
        <v>17.548930371746032</v>
      </c>
      <c r="AG457" s="15" t="s">
        <v>1489</v>
      </c>
      <c r="AH457" s="16" t="s">
        <v>203</v>
      </c>
      <c r="AI457" s="9">
        <v>16.645627096192896</v>
      </c>
      <c r="AJ457" s="15" t="s">
        <v>1489</v>
      </c>
      <c r="AK457" s="58" t="s">
        <v>201</v>
      </c>
      <c r="AL457" s="9">
        <v>15.868077104395606</v>
      </c>
      <c r="AM457" s="68" t="s">
        <v>277</v>
      </c>
      <c r="AN457" s="16" t="s">
        <v>203</v>
      </c>
      <c r="AO457" s="9">
        <v>13.499128720161293</v>
      </c>
      <c r="AP457" s="60"/>
      <c r="AQ457" s="68" t="s">
        <v>277</v>
      </c>
      <c r="AR457" s="9">
        <v>6.6506450715000014</v>
      </c>
      <c r="AS457" s="15" t="s">
        <v>1489</v>
      </c>
      <c r="AT457" s="9">
        <v>6.4246192686400008</v>
      </c>
      <c r="AU457" s="77" t="s">
        <v>277</v>
      </c>
      <c r="AV457" s="9">
        <v>3</v>
      </c>
      <c r="AW457" s="15" t="s">
        <v>112</v>
      </c>
      <c r="AX457" s="9">
        <v>204.42322257400005</v>
      </c>
      <c r="AY457" s="64" t="s">
        <v>112</v>
      </c>
      <c r="AZ457" s="9">
        <v>2.5552902821750005</v>
      </c>
      <c r="BA457" s="64" t="s">
        <v>1489</v>
      </c>
      <c r="BB457" s="64" t="s">
        <v>112</v>
      </c>
      <c r="BC457" s="9">
        <v>11.253853495600003</v>
      </c>
      <c r="BD457" s="77" t="s">
        <v>277</v>
      </c>
      <c r="BE457" s="64" t="s">
        <v>112</v>
      </c>
      <c r="BF457" s="9">
        <v>9.5255446140000011</v>
      </c>
      <c r="BG457" s="64" t="s">
        <v>1489</v>
      </c>
      <c r="BH457" s="16" t="s">
        <v>203</v>
      </c>
      <c r="BI457" s="9">
        <v>8.838767205570214</v>
      </c>
      <c r="BJ457" s="15" t="s">
        <v>1489</v>
      </c>
      <c r="BK457" s="58" t="s">
        <v>201</v>
      </c>
      <c r="BL457" s="9">
        <v>8.3189307592761921</v>
      </c>
      <c r="BM457" s="68" t="s">
        <v>277</v>
      </c>
      <c r="BN457" s="287" t="s">
        <v>203</v>
      </c>
      <c r="BO457" s="9">
        <v>6.0256450715000014</v>
      </c>
    </row>
    <row r="458" spans="1:67" x14ac:dyDescent="0.45">
      <c r="A458" s="10">
        <v>425</v>
      </c>
      <c r="B458" s="10" t="s">
        <v>610</v>
      </c>
      <c r="C458" s="287" t="s">
        <v>2182</v>
      </c>
      <c r="D458" s="65"/>
      <c r="E458" s="56" t="s">
        <v>2285</v>
      </c>
      <c r="F458" s="63" t="s">
        <v>2106</v>
      </c>
      <c r="G458" s="64" t="s">
        <v>2351</v>
      </c>
      <c r="H458" s="58" t="s">
        <v>1903</v>
      </c>
      <c r="I458" s="62">
        <v>104.31960132</v>
      </c>
      <c r="J458" s="62">
        <v>75.078500950000006</v>
      </c>
      <c r="K458" s="62">
        <v>175.44660222000002</v>
      </c>
      <c r="L458" s="49">
        <v>1197.2812903825263</v>
      </c>
      <c r="M458" s="49">
        <v>1235.997660821384</v>
      </c>
      <c r="N458" s="49">
        <v>1267.8702491380445</v>
      </c>
      <c r="O458" s="61">
        <v>12.252377737819875</v>
      </c>
      <c r="P458" s="60"/>
      <c r="Q458" s="68" t="s">
        <v>70</v>
      </c>
      <c r="R458" s="9">
        <v>7.2591760792000004</v>
      </c>
      <c r="S458" s="68" t="s">
        <v>70</v>
      </c>
      <c r="T458" s="9">
        <v>6.0493133993333341</v>
      </c>
      <c r="U458" s="68" t="s">
        <v>277</v>
      </c>
      <c r="V458" s="9">
        <v>12.727</v>
      </c>
      <c r="W458" s="77" t="s">
        <v>73</v>
      </c>
      <c r="X458" s="9">
        <v>63.591760792000002</v>
      </c>
      <c r="Y458" s="77" t="s">
        <v>73</v>
      </c>
      <c r="Z458" s="9">
        <v>21.197253597333333</v>
      </c>
      <c r="AA458" s="68" t="s">
        <v>70</v>
      </c>
      <c r="AB458" s="68" t="s">
        <v>73</v>
      </c>
      <c r="AC458" s="9">
        <v>12.541287769904761</v>
      </c>
      <c r="AD458" s="77" t="s">
        <v>277</v>
      </c>
      <c r="AE458" s="77" t="s">
        <v>73</v>
      </c>
      <c r="AF458" s="9">
        <v>12.274759734597938</v>
      </c>
      <c r="AG458" s="68" t="s">
        <v>70</v>
      </c>
      <c r="AH458" s="68" t="s">
        <v>1486</v>
      </c>
      <c r="AI458" s="9">
        <v>9.7504797572259516</v>
      </c>
      <c r="AJ458" s="68" t="s">
        <v>277</v>
      </c>
      <c r="AK458" s="77" t="s">
        <v>1486</v>
      </c>
      <c r="AL458" s="9">
        <v>9.4731900434075502</v>
      </c>
      <c r="AM458" s="68" t="s">
        <v>70</v>
      </c>
      <c r="AN458" s="74" t="s">
        <v>69</v>
      </c>
      <c r="AO458" s="9">
        <v>8.1163211386964615</v>
      </c>
      <c r="AP458" s="60"/>
      <c r="AQ458" s="68" t="s">
        <v>70</v>
      </c>
      <c r="AR458" s="9">
        <v>5.8821573417760007</v>
      </c>
      <c r="AS458" s="68" t="s">
        <v>70</v>
      </c>
      <c r="AT458" s="9">
        <v>1.9607191139253335</v>
      </c>
      <c r="AU458" s="77" t="s">
        <v>70</v>
      </c>
      <c r="AV458" s="9">
        <v>3.6666666666666998</v>
      </c>
      <c r="AW458" s="68" t="s">
        <v>73</v>
      </c>
      <c r="AX458" s="9">
        <v>82.369289029600012</v>
      </c>
      <c r="AY458" s="77" t="s">
        <v>73</v>
      </c>
      <c r="AZ458" s="9">
        <v>1.4976234369018184</v>
      </c>
      <c r="BA458" s="77" t="s">
        <v>70</v>
      </c>
      <c r="BB458" s="77" t="s">
        <v>73</v>
      </c>
      <c r="BC458" s="9">
        <v>6.9862547336550005</v>
      </c>
      <c r="BD458" s="77" t="s">
        <v>277</v>
      </c>
      <c r="BE458" s="77" t="s">
        <v>73</v>
      </c>
      <c r="BF458" s="9">
        <v>5.8625812994126445</v>
      </c>
      <c r="BG458" s="77" t="s">
        <v>70</v>
      </c>
      <c r="BH458" s="68" t="s">
        <v>1486</v>
      </c>
      <c r="BI458" s="9">
        <v>5.2963159033117568</v>
      </c>
      <c r="BJ458" s="68" t="s">
        <v>70</v>
      </c>
      <c r="BK458" s="291" t="s">
        <v>69</v>
      </c>
      <c r="BL458" s="9">
        <v>4.9536176030323285</v>
      </c>
      <c r="BM458" s="68" t="s">
        <v>277</v>
      </c>
      <c r="BN458" s="77" t="s">
        <v>1486</v>
      </c>
      <c r="BO458" s="9">
        <v>4.4798478968403099</v>
      </c>
    </row>
    <row r="459" spans="1:67" x14ac:dyDescent="0.45">
      <c r="A459" s="10">
        <v>426</v>
      </c>
      <c r="B459" s="10" t="s">
        <v>71</v>
      </c>
      <c r="C459" s="287" t="s">
        <v>2182</v>
      </c>
      <c r="D459" s="65"/>
      <c r="E459" s="56" t="s">
        <v>2285</v>
      </c>
      <c r="F459" s="63" t="s">
        <v>2106</v>
      </c>
      <c r="G459" s="64" t="s">
        <v>2351</v>
      </c>
      <c r="H459" s="58" t="s">
        <v>1903</v>
      </c>
      <c r="I459" s="62">
        <v>154.10850195</v>
      </c>
      <c r="J459" s="62">
        <v>92.465101170000011</v>
      </c>
      <c r="K459" s="62">
        <v>258.42810327000001</v>
      </c>
      <c r="L459" s="49">
        <v>2382.2393464906636</v>
      </c>
      <c r="M459" s="49">
        <v>2384.6764274262714</v>
      </c>
      <c r="N459" s="49">
        <v>2386.6278871455966</v>
      </c>
      <c r="O459" s="61">
        <v>21.873083806924591</v>
      </c>
      <c r="P459" s="60"/>
      <c r="Q459" s="68" t="s">
        <v>70</v>
      </c>
      <c r="R459" s="9">
        <v>10.246510117</v>
      </c>
      <c r="S459" s="68" t="s">
        <v>70</v>
      </c>
      <c r="T459" s="9">
        <v>8.5387584308333331</v>
      </c>
      <c r="U459" s="68" t="s">
        <v>277</v>
      </c>
      <c r="V459" s="9">
        <v>12.727</v>
      </c>
      <c r="W459" s="77" t="s">
        <v>73</v>
      </c>
      <c r="X459" s="9">
        <v>93.465101169999997</v>
      </c>
      <c r="Y459" s="77" t="s">
        <v>73</v>
      </c>
      <c r="Z459" s="9">
        <v>31.155033723333332</v>
      </c>
      <c r="AA459" s="68" t="s">
        <v>70</v>
      </c>
      <c r="AB459" s="68" t="s">
        <v>73</v>
      </c>
      <c r="AC459" s="9">
        <v>18.23144784190476</v>
      </c>
      <c r="AD459" s="77" t="s">
        <v>277</v>
      </c>
      <c r="AE459" s="77" t="s">
        <v>73</v>
      </c>
      <c r="AF459" s="9">
        <v>17.818266196494843</v>
      </c>
      <c r="AG459" s="68" t="s">
        <v>70</v>
      </c>
      <c r="AH459" s="68" t="s">
        <v>1486</v>
      </c>
      <c r="AI459" s="9">
        <v>14.094477798769573</v>
      </c>
      <c r="AJ459" s="68" t="s">
        <v>277</v>
      </c>
      <c r="AK459" s="77" t="s">
        <v>1486</v>
      </c>
      <c r="AL459" s="9">
        <v>13.66644692124879</v>
      </c>
      <c r="AM459" s="68" t="s">
        <v>70</v>
      </c>
      <c r="AN459" s="74" t="s">
        <v>69</v>
      </c>
      <c r="AO459" s="9">
        <v>11.732274815735567</v>
      </c>
      <c r="AP459" s="60"/>
      <c r="AQ459" s="68" t="s">
        <v>70</v>
      </c>
      <c r="AR459" s="9">
        <v>8.2122778912600012</v>
      </c>
      <c r="AS459" s="68" t="s">
        <v>70</v>
      </c>
      <c r="AT459" s="9">
        <v>2.7374259637533336</v>
      </c>
      <c r="AU459" s="77" t="s">
        <v>70</v>
      </c>
      <c r="AV459" s="9">
        <v>3.6666666666666998</v>
      </c>
      <c r="AW459" s="68" t="s">
        <v>73</v>
      </c>
      <c r="AX459" s="9">
        <v>121.20463152100001</v>
      </c>
      <c r="AY459" s="77" t="s">
        <v>73</v>
      </c>
      <c r="AZ459" s="9">
        <v>2.203720573109091</v>
      </c>
      <c r="BA459" s="77" t="s">
        <v>70</v>
      </c>
      <c r="BB459" s="77" t="s">
        <v>73</v>
      </c>
      <c r="BC459" s="9">
        <v>10.14162631108125</v>
      </c>
      <c r="BD459" s="77" t="s">
        <v>277</v>
      </c>
      <c r="BE459" s="77" t="s">
        <v>73</v>
      </c>
      <c r="BF459" s="9">
        <v>8.4850828756997139</v>
      </c>
      <c r="BG459" s="77" t="s">
        <v>70</v>
      </c>
      <c r="BH459" s="68" t="s">
        <v>1486</v>
      </c>
      <c r="BI459" s="9">
        <v>7.6382945726404596</v>
      </c>
      <c r="BJ459" s="68" t="s">
        <v>70</v>
      </c>
      <c r="BK459" s="291" t="s">
        <v>69</v>
      </c>
      <c r="BL459" s="9">
        <v>7.1347806744671232</v>
      </c>
      <c r="BM459" s="68" t="s">
        <v>277</v>
      </c>
      <c r="BN459" s="77" t="s">
        <v>1486</v>
      </c>
      <c r="BO459" s="9">
        <v>6.4366674797403105</v>
      </c>
    </row>
    <row r="460" spans="1:67" x14ac:dyDescent="0.45">
      <c r="A460" s="10">
        <v>427</v>
      </c>
      <c r="B460" s="10" t="s">
        <v>608</v>
      </c>
      <c r="C460" s="64" t="s">
        <v>1889</v>
      </c>
      <c r="D460" s="65"/>
      <c r="E460" s="58" t="s">
        <v>1903</v>
      </c>
      <c r="F460" s="77"/>
      <c r="G460" s="77" t="s">
        <v>1888</v>
      </c>
      <c r="H460" s="10"/>
      <c r="I460" s="62">
        <v>114.59350145000001</v>
      </c>
      <c r="J460" s="62">
        <v>94.836001200000013</v>
      </c>
      <c r="K460" s="62">
        <v>127.23830161000001</v>
      </c>
      <c r="L460" s="49">
        <v>1258.7965331235055</v>
      </c>
      <c r="M460" s="49">
        <v>1241.1779676388937</v>
      </c>
      <c r="N460" s="49">
        <v>1227.2608305458048</v>
      </c>
      <c r="O460" s="61">
        <v>11.021533554748002</v>
      </c>
      <c r="P460" s="60"/>
      <c r="Q460" s="15" t="s">
        <v>291</v>
      </c>
      <c r="R460" s="9">
        <v>6.5004880696000003</v>
      </c>
      <c r="S460" s="15" t="s">
        <v>288</v>
      </c>
      <c r="T460" s="9">
        <v>9.6882117681666671</v>
      </c>
      <c r="U460" s="15" t="s">
        <v>291</v>
      </c>
      <c r="V460" s="9">
        <v>12.5</v>
      </c>
      <c r="W460" s="64" t="s">
        <v>120</v>
      </c>
      <c r="X460" s="9">
        <v>42.253660521999997</v>
      </c>
      <c r="Y460" s="64" t="s">
        <v>120</v>
      </c>
      <c r="Z460" s="9">
        <v>15.090593043571429</v>
      </c>
      <c r="AA460" s="15" t="s">
        <v>288</v>
      </c>
      <c r="AB460" s="70" t="s">
        <v>13</v>
      </c>
      <c r="AC460" s="9">
        <v>11.712153998669677</v>
      </c>
      <c r="AD460" s="64" t="s">
        <v>288</v>
      </c>
      <c r="AE460" s="64" t="s">
        <v>120</v>
      </c>
      <c r="AF460" s="9">
        <v>11.627528123440172</v>
      </c>
      <c r="AG460" s="15" t="s">
        <v>291</v>
      </c>
      <c r="AH460" s="70" t="s">
        <v>13</v>
      </c>
      <c r="AI460" s="9">
        <v>11.13318625974315</v>
      </c>
      <c r="AJ460" s="15" t="s">
        <v>291</v>
      </c>
      <c r="AK460" s="64" t="s">
        <v>120</v>
      </c>
      <c r="AL460" s="9">
        <v>10.993544245588236</v>
      </c>
      <c r="AM460" s="68"/>
      <c r="AN460" s="74"/>
      <c r="AO460" s="9"/>
      <c r="AP460" s="60"/>
      <c r="AQ460" s="15" t="s">
        <v>2516</v>
      </c>
      <c r="AR460" s="9">
        <v>5.4691465565500001</v>
      </c>
      <c r="AS460" s="15" t="s">
        <v>2516</v>
      </c>
      <c r="AT460" s="9">
        <v>2.7345732782750001</v>
      </c>
      <c r="AU460" s="64" t="s">
        <v>291</v>
      </c>
      <c r="AV460" s="9">
        <v>3.5</v>
      </c>
      <c r="AW460" s="15" t="s">
        <v>120</v>
      </c>
      <c r="AX460" s="9">
        <v>54.629758678600005</v>
      </c>
      <c r="AY460" s="75" t="s">
        <v>13</v>
      </c>
      <c r="AZ460" s="9">
        <v>1.0491794192093751</v>
      </c>
      <c r="BA460" s="64" t="s">
        <v>291</v>
      </c>
      <c r="BB460" s="75" t="s">
        <v>13</v>
      </c>
      <c r="BC460" s="9">
        <v>5.8912195360991388</v>
      </c>
      <c r="BD460" s="64" t="s">
        <v>291</v>
      </c>
      <c r="BE460" s="64" t="s">
        <v>120</v>
      </c>
      <c r="BF460" s="9">
        <v>5.839413430431196</v>
      </c>
      <c r="BG460" s="64" t="s">
        <v>288</v>
      </c>
      <c r="BH460" s="70" t="s">
        <v>13</v>
      </c>
      <c r="BI460" s="9">
        <v>4.6027924920892858</v>
      </c>
      <c r="BJ460" s="15" t="s">
        <v>288</v>
      </c>
      <c r="BK460" s="64" t="s">
        <v>120</v>
      </c>
      <c r="BL460" s="9">
        <v>4.5554569765320174</v>
      </c>
      <c r="BM460" s="68"/>
      <c r="BN460" s="78"/>
      <c r="BO460" s="9"/>
    </row>
    <row r="461" spans="1:67" x14ac:dyDescent="0.45">
      <c r="A461" s="10">
        <v>428</v>
      </c>
      <c r="B461" s="10" t="s">
        <v>605</v>
      </c>
      <c r="C461" s="64" t="s">
        <v>1889</v>
      </c>
      <c r="D461" s="65"/>
      <c r="E461" s="58" t="s">
        <v>1903</v>
      </c>
      <c r="F461" s="77"/>
      <c r="G461" s="77" t="s">
        <v>1888</v>
      </c>
      <c r="H461" s="10"/>
      <c r="I461" s="62">
        <v>135.14130171000002</v>
      </c>
      <c r="J461" s="62">
        <v>165.17270209</v>
      </c>
      <c r="K461" s="62">
        <v>140.67340178000001</v>
      </c>
      <c r="L461" s="49">
        <v>2059.981069959782</v>
      </c>
      <c r="M461" s="49">
        <v>2144.3330571443566</v>
      </c>
      <c r="N461" s="49">
        <v>2214.2948489526416</v>
      </c>
      <c r="O461" s="61">
        <v>19.941598221891809</v>
      </c>
      <c r="P461" s="60"/>
      <c r="Q461" s="15" t="s">
        <v>288</v>
      </c>
      <c r="R461" s="9">
        <v>6.6759346718200003</v>
      </c>
      <c r="S461" s="15" t="s">
        <v>288</v>
      </c>
      <c r="T461" s="9">
        <v>11.126557786366668</v>
      </c>
      <c r="U461" s="55" t="s">
        <v>2436</v>
      </c>
      <c r="V461" s="9">
        <v>10</v>
      </c>
      <c r="W461" s="64" t="s">
        <v>112</v>
      </c>
      <c r="X461" s="9">
        <v>122.62717153900002</v>
      </c>
      <c r="Y461" s="64" t="s">
        <v>112</v>
      </c>
      <c r="Z461" s="9">
        <v>32.270308299736847</v>
      </c>
      <c r="AA461" s="15" t="s">
        <v>288</v>
      </c>
      <c r="AB461" s="15" t="s">
        <v>112</v>
      </c>
      <c r="AC461" s="9">
        <v>16.865575782852858</v>
      </c>
      <c r="AD461" s="64" t="s">
        <v>288</v>
      </c>
      <c r="AE461" s="58" t="s">
        <v>187</v>
      </c>
      <c r="AF461" s="9">
        <v>15.262029242185404</v>
      </c>
      <c r="AG461" s="55" t="s">
        <v>140</v>
      </c>
      <c r="AH461" s="15" t="s">
        <v>112</v>
      </c>
      <c r="AI461" s="9">
        <v>14.896373957935717</v>
      </c>
      <c r="AJ461" s="15" t="s">
        <v>288</v>
      </c>
      <c r="AK461" s="75" t="s">
        <v>13</v>
      </c>
      <c r="AL461" s="9">
        <v>13.599828420145583</v>
      </c>
      <c r="AM461" s="55" t="s">
        <v>140</v>
      </c>
      <c r="AN461" s="55" t="s">
        <v>187</v>
      </c>
      <c r="AO461" s="9">
        <v>13.24970620942336</v>
      </c>
      <c r="AP461" s="60"/>
      <c r="AQ461" s="15" t="s">
        <v>288</v>
      </c>
      <c r="AR461" s="9">
        <v>6.2705107666900011</v>
      </c>
      <c r="AS461" s="15" t="s">
        <v>288</v>
      </c>
      <c r="AT461" s="9">
        <v>3.1352553833450005</v>
      </c>
      <c r="AU461" s="58" t="s">
        <v>140</v>
      </c>
      <c r="AV461" s="9">
        <v>2.5</v>
      </c>
      <c r="AW461" s="15" t="s">
        <v>112</v>
      </c>
      <c r="AX461" s="9">
        <v>159.11532300070004</v>
      </c>
      <c r="AY461" s="64" t="s">
        <v>112</v>
      </c>
      <c r="AZ461" s="9">
        <v>1.9889415375087505</v>
      </c>
      <c r="BA461" s="58" t="s">
        <v>140</v>
      </c>
      <c r="BB461" s="64" t="s">
        <v>112</v>
      </c>
      <c r="BC461" s="9">
        <v>7.0101243791533348</v>
      </c>
      <c r="BD461" s="64" t="s">
        <v>288</v>
      </c>
      <c r="BE461" s="64" t="s">
        <v>112</v>
      </c>
      <c r="BF461" s="9">
        <v>6.9396472764512218</v>
      </c>
      <c r="BG461" s="64" t="s">
        <v>288</v>
      </c>
      <c r="BH461" s="55" t="s">
        <v>187</v>
      </c>
      <c r="BI461" s="9">
        <v>6.5022037933165588</v>
      </c>
      <c r="BJ461" s="55" t="s">
        <v>140</v>
      </c>
      <c r="BK461" s="58" t="s">
        <v>187</v>
      </c>
      <c r="BL461" s="9">
        <v>6.4667057043274196</v>
      </c>
      <c r="BM461" s="15" t="s">
        <v>288</v>
      </c>
      <c r="BN461" s="75" t="s">
        <v>13</v>
      </c>
      <c r="BO461" s="9">
        <v>5.3341963346773822</v>
      </c>
    </row>
    <row r="462" spans="1:67" x14ac:dyDescent="0.45">
      <c r="A462" s="10">
        <v>429</v>
      </c>
      <c r="B462" s="10" t="s">
        <v>149</v>
      </c>
      <c r="C462" s="77" t="s">
        <v>1888</v>
      </c>
      <c r="D462" s="65"/>
      <c r="E462" s="77" t="s">
        <v>2167</v>
      </c>
      <c r="F462" s="63" t="s">
        <v>2109</v>
      </c>
      <c r="G462" s="64" t="s">
        <v>2295</v>
      </c>
      <c r="H462" s="10"/>
      <c r="I462" s="62">
        <v>178.60780226</v>
      </c>
      <c r="J462" s="62">
        <v>159.64060202000002</v>
      </c>
      <c r="K462" s="62">
        <v>134.35100170000001</v>
      </c>
      <c r="L462" s="49">
        <v>2615.7278682518358</v>
      </c>
      <c r="M462" s="49">
        <v>2448.2539367532136</v>
      </c>
      <c r="N462" s="49">
        <v>2322.0286995926413</v>
      </c>
      <c r="O462" s="61">
        <v>18.495277550663186</v>
      </c>
      <c r="P462" s="60"/>
      <c r="Q462" s="68" t="s">
        <v>70</v>
      </c>
      <c r="R462" s="9">
        <v>11.7164681356</v>
      </c>
      <c r="S462" s="67" t="s">
        <v>266</v>
      </c>
      <c r="T462" s="9">
        <v>10.358961541571428</v>
      </c>
      <c r="U462" s="68" t="s">
        <v>70</v>
      </c>
      <c r="V462" s="9">
        <v>12.5</v>
      </c>
      <c r="W462" s="77" t="s">
        <v>73</v>
      </c>
      <c r="X462" s="9">
        <v>108.164681356</v>
      </c>
      <c r="Y462" s="77" t="s">
        <v>73</v>
      </c>
      <c r="Z462" s="9">
        <v>36.054893785333334</v>
      </c>
      <c r="AA462" s="68" t="s">
        <v>70</v>
      </c>
      <c r="AB462" s="68" t="s">
        <v>73</v>
      </c>
      <c r="AC462" s="9">
        <v>21.031367877333334</v>
      </c>
      <c r="AD462" s="76" t="s">
        <v>266</v>
      </c>
      <c r="AE462" s="77" t="s">
        <v>73</v>
      </c>
      <c r="AF462" s="9">
        <v>20.811544149203389</v>
      </c>
      <c r="AG462" s="68" t="s">
        <v>70</v>
      </c>
      <c r="AH462" s="14" t="s">
        <v>63</v>
      </c>
      <c r="AI462" s="9">
        <v>17.247839322044445</v>
      </c>
      <c r="AJ462" s="67" t="s">
        <v>266</v>
      </c>
      <c r="AK462" s="65" t="s">
        <v>63</v>
      </c>
      <c r="AL462" s="9">
        <v>17.222140682460317</v>
      </c>
      <c r="AM462" s="67" t="s">
        <v>266</v>
      </c>
      <c r="AN462" s="67" t="s">
        <v>160</v>
      </c>
      <c r="AO462" s="9">
        <v>15.967942731983049</v>
      </c>
      <c r="AP462" s="60"/>
      <c r="AQ462" s="68" t="s">
        <v>70</v>
      </c>
      <c r="AR462" s="9">
        <v>9.3588451457680009</v>
      </c>
      <c r="AS462" s="67" t="s">
        <v>266</v>
      </c>
      <c r="AT462" s="9">
        <v>3.4023767867250001</v>
      </c>
      <c r="AU462" s="77" t="s">
        <v>70</v>
      </c>
      <c r="AV462" s="9">
        <v>3.6666666666666998</v>
      </c>
      <c r="AW462" s="68" t="s">
        <v>73</v>
      </c>
      <c r="AX462" s="9">
        <v>140.3140857628</v>
      </c>
      <c r="AY462" s="77" t="s">
        <v>73</v>
      </c>
      <c r="AZ462" s="9">
        <v>2.5511651956872727</v>
      </c>
      <c r="BA462" s="77" t="s">
        <v>70</v>
      </c>
      <c r="BB462" s="77" t="s">
        <v>73</v>
      </c>
      <c r="BC462" s="9">
        <v>11.6942694682275</v>
      </c>
      <c r="BD462" s="76" t="s">
        <v>266</v>
      </c>
      <c r="BE462" s="77" t="s">
        <v>73</v>
      </c>
      <c r="BF462" s="9">
        <v>11.593675614353417</v>
      </c>
      <c r="BG462" s="77" t="s">
        <v>70</v>
      </c>
      <c r="BH462" s="14" t="s">
        <v>63</v>
      </c>
      <c r="BI462" s="9">
        <v>9.3704503392699561</v>
      </c>
      <c r="BJ462" s="67" t="s">
        <v>266</v>
      </c>
      <c r="BK462" s="65" t="s">
        <v>63</v>
      </c>
      <c r="BL462" s="9">
        <v>9.3691483024000011</v>
      </c>
      <c r="BM462" s="67" t="s">
        <v>266</v>
      </c>
      <c r="BN462" s="76" t="s">
        <v>160</v>
      </c>
      <c r="BO462" s="9">
        <v>9.3212156906439247</v>
      </c>
    </row>
    <row r="463" spans="1:67" x14ac:dyDescent="0.45">
      <c r="A463" s="10">
        <v>430</v>
      </c>
      <c r="B463" s="10" t="s">
        <v>600</v>
      </c>
      <c r="C463" s="287" t="s">
        <v>2147</v>
      </c>
      <c r="D463" s="65"/>
      <c r="E463" s="56" t="s">
        <v>2293</v>
      </c>
      <c r="F463" s="77" t="s">
        <v>2294</v>
      </c>
      <c r="G463" s="80" t="s">
        <v>2175</v>
      </c>
      <c r="H463" s="10"/>
      <c r="I463" s="62">
        <v>203.89740258</v>
      </c>
      <c r="J463" s="62">
        <v>93.255401180000007</v>
      </c>
      <c r="K463" s="62">
        <v>189.67200240000003</v>
      </c>
      <c r="L463" s="49">
        <v>2711.754099289145</v>
      </c>
      <c r="M463" s="49">
        <v>2351.7578997088981</v>
      </c>
      <c r="N463" s="49">
        <v>2098.4878375731032</v>
      </c>
      <c r="O463" s="61">
        <v>16.179145931805628</v>
      </c>
      <c r="P463" s="60"/>
      <c r="Q463" s="67" t="s">
        <v>20</v>
      </c>
      <c r="R463" s="9">
        <v>15.68061298576</v>
      </c>
      <c r="S463" s="67" t="s">
        <v>20</v>
      </c>
      <c r="T463" s="9">
        <v>14.255102714327272</v>
      </c>
      <c r="U463" s="67" t="s">
        <v>20</v>
      </c>
      <c r="V463" s="9">
        <v>12.727</v>
      </c>
      <c r="W463" s="287" t="s">
        <v>1517</v>
      </c>
      <c r="X463" s="9">
        <v>111.1045973932</v>
      </c>
      <c r="Y463" s="287" t="s">
        <v>1517</v>
      </c>
      <c r="Z463" s="9">
        <v>55.552298696599998</v>
      </c>
      <c r="AA463" s="67" t="s">
        <v>20</v>
      </c>
      <c r="AB463" s="16" t="s">
        <v>229</v>
      </c>
      <c r="AC463" s="9">
        <v>26.1231469232</v>
      </c>
      <c r="AD463" s="287" t="s">
        <v>1515</v>
      </c>
      <c r="AE463" s="287" t="s">
        <v>229</v>
      </c>
      <c r="AF463" s="9">
        <v>23.577139144628571</v>
      </c>
      <c r="AG463" s="67" t="s">
        <v>20</v>
      </c>
      <c r="AH463" s="67" t="s">
        <v>160</v>
      </c>
      <c r="AI463" s="9">
        <v>22.352795820882474</v>
      </c>
      <c r="AJ463" s="67" t="s">
        <v>20</v>
      </c>
      <c r="AK463" s="242" t="s">
        <v>82</v>
      </c>
      <c r="AL463" s="9">
        <v>22.10811343462845</v>
      </c>
      <c r="AM463" s="67" t="s">
        <v>20</v>
      </c>
      <c r="AN463" s="16" t="s">
        <v>1517</v>
      </c>
      <c r="AO463" s="9">
        <v>21.902731599933329</v>
      </c>
      <c r="AP463" s="60"/>
      <c r="AQ463" s="16" t="s">
        <v>1515</v>
      </c>
      <c r="AR463" s="9">
        <v>10.542398440744</v>
      </c>
      <c r="AS463" s="16" t="s">
        <v>1515</v>
      </c>
      <c r="AT463" s="9">
        <v>5.2711992203719999</v>
      </c>
      <c r="AU463" s="76" t="s">
        <v>20</v>
      </c>
      <c r="AV463" s="9">
        <v>4.3333333333333002</v>
      </c>
      <c r="AW463" s="16" t="s">
        <v>1517</v>
      </c>
      <c r="AX463" s="9">
        <v>144.13597661116</v>
      </c>
      <c r="AY463" s="287" t="s">
        <v>229</v>
      </c>
      <c r="AZ463" s="9">
        <v>2.8495995379982224</v>
      </c>
      <c r="BA463" s="76" t="s">
        <v>20</v>
      </c>
      <c r="BB463" s="287" t="s">
        <v>229</v>
      </c>
      <c r="BC463" s="9">
        <v>13.985511292276081</v>
      </c>
      <c r="BD463" s="76" t="s">
        <v>20</v>
      </c>
      <c r="BE463" s="287" t="s">
        <v>1517</v>
      </c>
      <c r="BF463" s="9">
        <v>13.292851822916742</v>
      </c>
      <c r="BG463" s="76" t="s">
        <v>20</v>
      </c>
      <c r="BH463" s="67" t="s">
        <v>160</v>
      </c>
      <c r="BI463" s="9">
        <v>12.973102237791165</v>
      </c>
      <c r="BJ463" s="16" t="s">
        <v>1515</v>
      </c>
      <c r="BK463" s="287" t="s">
        <v>229</v>
      </c>
      <c r="BL463" s="9">
        <v>11.742819219821897</v>
      </c>
      <c r="BM463" s="67" t="s">
        <v>20</v>
      </c>
      <c r="BN463" s="242" t="s">
        <v>82</v>
      </c>
      <c r="BO463" s="9">
        <v>11.550559972780899</v>
      </c>
    </row>
    <row r="464" spans="1:67" x14ac:dyDescent="0.45">
      <c r="A464" s="10">
        <v>431</v>
      </c>
      <c r="B464" s="10" t="s">
        <v>597</v>
      </c>
      <c r="C464" s="64" t="s">
        <v>1889</v>
      </c>
      <c r="D464" s="65"/>
      <c r="E464" s="58" t="s">
        <v>1903</v>
      </c>
      <c r="F464" s="77"/>
      <c r="G464" s="77" t="s">
        <v>1888</v>
      </c>
      <c r="H464" s="10"/>
      <c r="I464" s="62">
        <v>97.99720124000001</v>
      </c>
      <c r="J464" s="62">
        <v>76.659100970000011</v>
      </c>
      <c r="K464" s="62">
        <v>118.54500150000001</v>
      </c>
      <c r="L464" s="49">
        <v>934.19417865101536</v>
      </c>
      <c r="M464" s="49">
        <v>925.63640551486026</v>
      </c>
      <c r="N464" s="49">
        <v>918.84666545408095</v>
      </c>
      <c r="O464" s="61">
        <v>8.4405112363699963</v>
      </c>
      <c r="P464" s="60"/>
      <c r="Q464" s="15" t="s">
        <v>291</v>
      </c>
      <c r="R464" s="9">
        <v>5.7038656595199999</v>
      </c>
      <c r="S464" s="15" t="s">
        <v>1489</v>
      </c>
      <c r="T464" s="9">
        <v>9.0557984892800008</v>
      </c>
      <c r="U464" s="15" t="s">
        <v>291</v>
      </c>
      <c r="V464" s="9">
        <v>12.5</v>
      </c>
      <c r="W464" s="65" t="s">
        <v>84</v>
      </c>
      <c r="X464" s="9">
        <v>45.098740558000003</v>
      </c>
      <c r="Y464" s="290" t="s">
        <v>182</v>
      </c>
      <c r="Z464" s="9">
        <v>16.079552198400002</v>
      </c>
      <c r="AA464" s="15" t="s">
        <v>1489</v>
      </c>
      <c r="AB464" s="14" t="s">
        <v>84</v>
      </c>
      <c r="AC464" s="9">
        <v>11.114478810491804</v>
      </c>
      <c r="AD464" s="64" t="s">
        <v>1489</v>
      </c>
      <c r="AE464" s="290" t="s">
        <v>182</v>
      </c>
      <c r="AF464" s="9">
        <v>11.062585263314286</v>
      </c>
      <c r="AG464" s="15" t="s">
        <v>291</v>
      </c>
      <c r="AH464" s="14" t="s">
        <v>84</v>
      </c>
      <c r="AI464" s="9">
        <v>10.669285341391303</v>
      </c>
      <c r="AJ464" s="15" t="s">
        <v>291</v>
      </c>
      <c r="AK464" s="290" t="s">
        <v>182</v>
      </c>
      <c r="AL464" s="9">
        <v>10.572032122092308</v>
      </c>
      <c r="AM464" s="15" t="s">
        <v>1489</v>
      </c>
      <c r="AN464" s="16" t="s">
        <v>203</v>
      </c>
      <c r="AO464" s="9">
        <v>10.002293001979698</v>
      </c>
      <c r="AP464" s="60"/>
      <c r="AQ464" s="15" t="s">
        <v>291</v>
      </c>
      <c r="AR464" s="9">
        <v>4.8218908483600007</v>
      </c>
      <c r="AS464" s="15" t="s">
        <v>1489</v>
      </c>
      <c r="AT464" s="9">
        <v>4.057512678688</v>
      </c>
      <c r="AU464" s="64" t="s">
        <v>291</v>
      </c>
      <c r="AV464" s="9">
        <v>3.5</v>
      </c>
      <c r="AW464" s="51" t="s">
        <v>2517</v>
      </c>
      <c r="AX464" s="9">
        <v>58.328362725400005</v>
      </c>
      <c r="AY464" s="290" t="s">
        <v>182</v>
      </c>
      <c r="AZ464" s="9">
        <v>1.0605156859163638</v>
      </c>
      <c r="BA464" s="64" t="s">
        <v>1489</v>
      </c>
      <c r="BB464" s="290" t="s">
        <v>182</v>
      </c>
      <c r="BC464" s="9">
        <v>5.9617530312042115</v>
      </c>
      <c r="BD464" s="64" t="s">
        <v>1489</v>
      </c>
      <c r="BE464" s="65" t="s">
        <v>84</v>
      </c>
      <c r="BF464" s="9">
        <v>5.8081852608400002</v>
      </c>
      <c r="BG464" s="64" t="s">
        <v>291</v>
      </c>
      <c r="BH464" s="51" t="s">
        <v>182</v>
      </c>
      <c r="BI464" s="9">
        <v>5.756431929381197</v>
      </c>
      <c r="BJ464" s="15" t="s">
        <v>291</v>
      </c>
      <c r="BK464" s="65" t="s">
        <v>84</v>
      </c>
      <c r="BL464" s="9">
        <v>5.4930077951133862</v>
      </c>
      <c r="BM464" s="15" t="s">
        <v>1489</v>
      </c>
      <c r="BN464" s="287" t="s">
        <v>203</v>
      </c>
      <c r="BO464" s="9">
        <v>5.4182142431395741</v>
      </c>
    </row>
    <row r="465" spans="1:67" x14ac:dyDescent="0.45">
      <c r="A465" s="10">
        <v>432</v>
      </c>
      <c r="B465" s="10" t="s">
        <v>594</v>
      </c>
      <c r="C465" s="64" t="s">
        <v>1889</v>
      </c>
      <c r="D465" s="65"/>
      <c r="E465" s="58" t="s">
        <v>1903</v>
      </c>
      <c r="F465" s="77"/>
      <c r="G465" s="77" t="s">
        <v>1888</v>
      </c>
      <c r="H465" s="10"/>
      <c r="I465" s="62">
        <v>147.78610187000001</v>
      </c>
      <c r="J465" s="62">
        <v>116.96440148000001</v>
      </c>
      <c r="K465" s="62">
        <v>149.36670189</v>
      </c>
      <c r="L465" s="49">
        <v>1953.3827183924986</v>
      </c>
      <c r="M465" s="49">
        <v>1882.033685110245</v>
      </c>
      <c r="N465" s="49">
        <v>1826.8354608346349</v>
      </c>
      <c r="O465" s="61">
        <v>15.641131323842158</v>
      </c>
      <c r="P465" s="60"/>
      <c r="Q465" s="68" t="s">
        <v>49</v>
      </c>
      <c r="R465" s="9">
        <v>7.6503745841500006</v>
      </c>
      <c r="S465" s="15" t="s">
        <v>1489</v>
      </c>
      <c r="T465" s="9">
        <v>12.640599334640001</v>
      </c>
      <c r="U465" s="68" t="s">
        <v>49</v>
      </c>
      <c r="V465" s="9">
        <v>8.5709999999999997</v>
      </c>
      <c r="W465" s="290" t="s">
        <v>222</v>
      </c>
      <c r="X465" s="9">
        <v>74.893050935000005</v>
      </c>
      <c r="Y465" s="290" t="s">
        <v>222</v>
      </c>
      <c r="Z465" s="9">
        <v>31.205437889583337</v>
      </c>
      <c r="AA465" s="15" t="s">
        <v>1489</v>
      </c>
      <c r="AB465" s="14" t="s">
        <v>84</v>
      </c>
      <c r="AC465" s="9">
        <v>16.011747724918035</v>
      </c>
      <c r="AD465" s="64" t="s">
        <v>1489</v>
      </c>
      <c r="AE465" s="290" t="s">
        <v>222</v>
      </c>
      <c r="AF465" s="9">
        <v>15.630908900536914</v>
      </c>
      <c r="AG465" s="68" t="s">
        <v>49</v>
      </c>
      <c r="AH465" s="14" t="s">
        <v>84</v>
      </c>
      <c r="AI465" s="9">
        <v>15.029412294971376</v>
      </c>
      <c r="AJ465" s="15" t="s">
        <v>1489</v>
      </c>
      <c r="AK465" s="287" t="s">
        <v>203</v>
      </c>
      <c r="AL465" s="9">
        <v>14.361981001307107</v>
      </c>
      <c r="AM465" s="68" t="s">
        <v>49</v>
      </c>
      <c r="AN465" s="51" t="s">
        <v>222</v>
      </c>
      <c r="AO465" s="9">
        <v>14.332127193395106</v>
      </c>
      <c r="AP465" s="60"/>
      <c r="AQ465" s="68" t="s">
        <v>49</v>
      </c>
      <c r="AR465" s="9">
        <v>6.7636579729300008</v>
      </c>
      <c r="AS465" s="15" t="s">
        <v>1489</v>
      </c>
      <c r="AT465" s="9">
        <v>5.6109263783440007</v>
      </c>
      <c r="AU465" s="77" t="s">
        <v>49</v>
      </c>
      <c r="AV465" s="9">
        <v>4</v>
      </c>
      <c r="AW465" s="51" t="s">
        <v>222</v>
      </c>
      <c r="AX465" s="9">
        <v>97.060966215500017</v>
      </c>
      <c r="AY465" s="290" t="s">
        <v>222</v>
      </c>
      <c r="AZ465" s="9">
        <v>1.6176827702583336</v>
      </c>
      <c r="BA465" s="77" t="s">
        <v>49</v>
      </c>
      <c r="BB465" s="290" t="s">
        <v>222</v>
      </c>
      <c r="BC465" s="9">
        <v>9.2367750632796888</v>
      </c>
      <c r="BD465" s="77" t="s">
        <v>49</v>
      </c>
      <c r="BE465" s="65" t="s">
        <v>84</v>
      </c>
      <c r="BF465" s="9">
        <v>8.6363940244328141</v>
      </c>
      <c r="BG465" s="64" t="s">
        <v>1489</v>
      </c>
      <c r="BH465" s="51" t="s">
        <v>222</v>
      </c>
      <c r="BI465" s="9">
        <v>8.5609276634135494</v>
      </c>
      <c r="BJ465" s="15" t="s">
        <v>1489</v>
      </c>
      <c r="BK465" s="65" t="s">
        <v>84</v>
      </c>
      <c r="BL465" s="9">
        <v>8.2510535788474204</v>
      </c>
      <c r="BM465" s="15" t="s">
        <v>1489</v>
      </c>
      <c r="BN465" s="287" t="s">
        <v>203</v>
      </c>
      <c r="BO465" s="9">
        <v>7.6629521247346819</v>
      </c>
    </row>
    <row r="466" spans="1:67" x14ac:dyDescent="0.45">
      <c r="A466" s="10">
        <v>433</v>
      </c>
      <c r="B466" s="10" t="s">
        <v>591</v>
      </c>
      <c r="C466" s="242" t="s">
        <v>1925</v>
      </c>
      <c r="D466" s="65"/>
      <c r="E466" s="289" t="s">
        <v>2239</v>
      </c>
      <c r="F466" s="58" t="s">
        <v>2170</v>
      </c>
      <c r="G466" s="242"/>
      <c r="H466" s="10"/>
      <c r="I466" s="62">
        <v>101.94870129</v>
      </c>
      <c r="J466" s="62">
        <v>86.142701090000003</v>
      </c>
      <c r="K466" s="62">
        <v>113.01290143000001</v>
      </c>
      <c r="L466" s="49">
        <v>1005.9003352024399</v>
      </c>
      <c r="M466" s="49">
        <v>994.99020478292698</v>
      </c>
      <c r="N466" s="49">
        <v>986.34736182937627</v>
      </c>
      <c r="O466" s="61">
        <v>8.963128488943779</v>
      </c>
      <c r="P466" s="60"/>
      <c r="Q466" s="57" t="s">
        <v>95</v>
      </c>
      <c r="R466" s="9">
        <v>8.3403064928799999</v>
      </c>
      <c r="S466" s="57" t="s">
        <v>95</v>
      </c>
      <c r="T466" s="9">
        <v>7.5820968117090901</v>
      </c>
      <c r="U466" s="68" t="s">
        <v>277</v>
      </c>
      <c r="V466" s="9">
        <v>12.727</v>
      </c>
      <c r="W466" s="77" t="s">
        <v>73</v>
      </c>
      <c r="X466" s="9">
        <v>51.974350645000001</v>
      </c>
      <c r="Y466" s="77" t="s">
        <v>73</v>
      </c>
      <c r="Z466" s="9">
        <v>17.324783548333333</v>
      </c>
      <c r="AA466" s="57" t="s">
        <v>95</v>
      </c>
      <c r="AB466" s="68" t="s">
        <v>73</v>
      </c>
      <c r="AC466" s="9">
        <v>11.020692130517647</v>
      </c>
      <c r="AD466" s="242" t="s">
        <v>95</v>
      </c>
      <c r="AE466" s="242" t="s">
        <v>58</v>
      </c>
      <c r="AF466" s="9">
        <v>10.768745834455496</v>
      </c>
      <c r="AG466" s="68" t="s">
        <v>277</v>
      </c>
      <c r="AH466" s="68" t="s">
        <v>73</v>
      </c>
      <c r="AI466" s="9">
        <v>10.118951666082475</v>
      </c>
      <c r="AJ466" s="68" t="s">
        <v>277</v>
      </c>
      <c r="AK466" s="242" t="s">
        <v>58</v>
      </c>
      <c r="AL466" s="9">
        <v>9.9360543074762742</v>
      </c>
      <c r="AM466" s="57" t="s">
        <v>95</v>
      </c>
      <c r="AN466" s="15" t="s">
        <v>1495</v>
      </c>
      <c r="AO466" s="9">
        <v>9.0434972634416226</v>
      </c>
      <c r="AP466" s="60"/>
      <c r="AQ466" s="57" t="s">
        <v>95</v>
      </c>
      <c r="AR466" s="9">
        <v>7.3615989604959999</v>
      </c>
      <c r="AS466" s="57" t="s">
        <v>95</v>
      </c>
      <c r="AT466" s="9">
        <v>2.4538663201653335</v>
      </c>
      <c r="AU466" s="77" t="s">
        <v>277</v>
      </c>
      <c r="AV466" s="9">
        <v>3</v>
      </c>
      <c r="AW466" s="68" t="s">
        <v>73</v>
      </c>
      <c r="AX466" s="9">
        <v>67.2666558385</v>
      </c>
      <c r="AY466" s="242" t="s">
        <v>58</v>
      </c>
      <c r="AZ466" s="9">
        <v>1.2591997978742222</v>
      </c>
      <c r="BA466" s="77" t="s">
        <v>277</v>
      </c>
      <c r="BB466" s="242" t="s">
        <v>58</v>
      </c>
      <c r="BC466" s="9">
        <v>4.8894159289978125</v>
      </c>
      <c r="BD466" s="77" t="s">
        <v>277</v>
      </c>
      <c r="BE466" s="77" t="s">
        <v>73</v>
      </c>
      <c r="BF466" s="9">
        <v>4.8427195753010066</v>
      </c>
      <c r="BG466" s="242" t="s">
        <v>95</v>
      </c>
      <c r="BH466" s="57" t="s">
        <v>58</v>
      </c>
      <c r="BI466" s="9">
        <v>4.760680132257872</v>
      </c>
      <c r="BJ466" s="57" t="s">
        <v>95</v>
      </c>
      <c r="BK466" s="77" t="s">
        <v>73</v>
      </c>
      <c r="BL466" s="9">
        <v>4.7279992857209354</v>
      </c>
      <c r="BM466" s="57" t="s">
        <v>95</v>
      </c>
      <c r="BN466" s="64" t="s">
        <v>1495</v>
      </c>
      <c r="BO466" s="9">
        <v>4.0839142853965962</v>
      </c>
    </row>
    <row r="467" spans="1:67" x14ac:dyDescent="0.45">
      <c r="A467" s="10">
        <v>434</v>
      </c>
      <c r="B467" s="10" t="s">
        <v>589</v>
      </c>
      <c r="C467" s="63" t="s">
        <v>2127</v>
      </c>
      <c r="D467" s="65"/>
      <c r="E467" s="80" t="s">
        <v>1892</v>
      </c>
      <c r="F467" s="63" t="s">
        <v>2251</v>
      </c>
      <c r="G467" s="242"/>
      <c r="H467" s="10"/>
      <c r="I467" s="62">
        <v>107.48080136</v>
      </c>
      <c r="J467" s="62">
        <v>82.981501050000006</v>
      </c>
      <c r="K467" s="62">
        <v>138.30250175</v>
      </c>
      <c r="L467" s="49">
        <v>1151.4273924832974</v>
      </c>
      <c r="M467" s="49">
        <v>1150.1685256318267</v>
      </c>
      <c r="N467" s="49">
        <v>1149.1624231815588</v>
      </c>
      <c r="O467" s="61">
        <v>10.597179345222623</v>
      </c>
      <c r="P467" s="60"/>
      <c r="Q467" s="67" t="s">
        <v>66</v>
      </c>
      <c r="R467" s="9">
        <v>4.8693088489600003</v>
      </c>
      <c r="S467" s="67" t="s">
        <v>66</v>
      </c>
      <c r="T467" s="9">
        <v>9.7386176979200005</v>
      </c>
      <c r="U467" s="67" t="s">
        <v>2380</v>
      </c>
      <c r="V467" s="9">
        <v>8</v>
      </c>
      <c r="W467" s="63" t="s">
        <v>124</v>
      </c>
      <c r="X467" s="9">
        <v>52.590784652799996</v>
      </c>
      <c r="Y467" s="63" t="s">
        <v>124</v>
      </c>
      <c r="Z467" s="9">
        <v>22.865558544695652</v>
      </c>
      <c r="AA467" s="67" t="s">
        <v>66</v>
      </c>
      <c r="AB467" s="54" t="s">
        <v>124</v>
      </c>
      <c r="AC467" s="9">
        <v>13.269841551438596</v>
      </c>
      <c r="AD467" s="64" t="s">
        <v>1489</v>
      </c>
      <c r="AE467" s="63" t="s">
        <v>124</v>
      </c>
      <c r="AF467" s="9">
        <v>12.32702750442105</v>
      </c>
      <c r="AG467" s="67" t="s">
        <v>66</v>
      </c>
      <c r="AH467" s="70" t="s">
        <v>76</v>
      </c>
      <c r="AI467" s="9">
        <v>11.773330306272191</v>
      </c>
      <c r="AJ467" s="67" t="s">
        <v>66</v>
      </c>
      <c r="AK467" s="76" t="s">
        <v>91</v>
      </c>
      <c r="AL467" s="9">
        <v>11.7718792279457</v>
      </c>
      <c r="AM467" s="15" t="s">
        <v>1489</v>
      </c>
      <c r="AN467" s="67" t="s">
        <v>91</v>
      </c>
      <c r="AO467" s="9">
        <v>11.042371526407239</v>
      </c>
      <c r="AP467" s="60"/>
      <c r="AQ467" s="67" t="s">
        <v>66</v>
      </c>
      <c r="AR467" s="9">
        <v>4.3534010024320002</v>
      </c>
      <c r="AS467" s="67" t="s">
        <v>66</v>
      </c>
      <c r="AT467" s="9">
        <v>4.3534010024320002</v>
      </c>
      <c r="AU467" s="76" t="s">
        <v>2456</v>
      </c>
      <c r="AV467" s="9">
        <v>2</v>
      </c>
      <c r="AW467" s="54" t="s">
        <v>124</v>
      </c>
      <c r="AX467" s="9">
        <v>68.068020048640008</v>
      </c>
      <c r="AY467" s="63" t="s">
        <v>124</v>
      </c>
      <c r="AZ467" s="9">
        <v>1.3613604009728002</v>
      </c>
      <c r="BA467" s="76" t="s">
        <v>66</v>
      </c>
      <c r="BB467" s="63" t="s">
        <v>124</v>
      </c>
      <c r="BC467" s="9">
        <v>6.80396327344</v>
      </c>
      <c r="BD467" s="76" t="s">
        <v>66</v>
      </c>
      <c r="BE467" s="76" t="s">
        <v>91</v>
      </c>
      <c r="BF467" s="9">
        <v>6.707916599884256</v>
      </c>
      <c r="BG467" s="76" t="s">
        <v>66</v>
      </c>
      <c r="BH467" s="70" t="s">
        <v>76</v>
      </c>
      <c r="BI467" s="9">
        <v>6.4419226793852644</v>
      </c>
      <c r="BJ467" s="15" t="s">
        <v>1489</v>
      </c>
      <c r="BK467" s="63" t="s">
        <v>124</v>
      </c>
      <c r="BL467" s="9">
        <v>6.2665592666400007</v>
      </c>
      <c r="BM467" s="15" t="s">
        <v>1489</v>
      </c>
      <c r="BN467" s="76" t="s">
        <v>91</v>
      </c>
      <c r="BO467" s="9">
        <v>6.1727994186451065</v>
      </c>
    </row>
    <row r="468" spans="1:67" x14ac:dyDescent="0.45">
      <c r="A468" s="10">
        <v>435</v>
      </c>
      <c r="B468" s="10" t="s">
        <v>77</v>
      </c>
      <c r="C468" s="63" t="s">
        <v>2127</v>
      </c>
      <c r="D468" s="65"/>
      <c r="E468" s="80" t="s">
        <v>1892</v>
      </c>
      <c r="F468" s="63" t="s">
        <v>2251</v>
      </c>
      <c r="G468" s="242"/>
      <c r="H468" s="10"/>
      <c r="I468" s="62">
        <v>157.26970199000002</v>
      </c>
      <c r="J468" s="62">
        <v>116.17410147000001</v>
      </c>
      <c r="K468" s="62">
        <v>193.62350245000002</v>
      </c>
      <c r="L468" s="49">
        <v>2358.7328790135784</v>
      </c>
      <c r="M468" s="49">
        <v>2321.7117815534211</v>
      </c>
      <c r="N468" s="49">
        <v>2292.5137054962224</v>
      </c>
      <c r="O468" s="61">
        <v>20.152802677448328</v>
      </c>
      <c r="P468" s="60"/>
      <c r="Q468" s="54" t="s">
        <v>171</v>
      </c>
      <c r="R468" s="9">
        <v>10.4361821194</v>
      </c>
      <c r="S468" s="67" t="s">
        <v>66</v>
      </c>
      <c r="T468" s="9">
        <v>13.323418543280001</v>
      </c>
      <c r="U468" s="54" t="s">
        <v>171</v>
      </c>
      <c r="V468" s="9">
        <v>8.75</v>
      </c>
      <c r="W468" s="63" t="s">
        <v>124</v>
      </c>
      <c r="X468" s="9">
        <v>76.489456955199998</v>
      </c>
      <c r="Y468" s="63" t="s">
        <v>124</v>
      </c>
      <c r="Z468" s="9">
        <v>33.256285632695651</v>
      </c>
      <c r="AA468" s="54" t="s">
        <v>171</v>
      </c>
      <c r="AB468" s="54" t="s">
        <v>124</v>
      </c>
      <c r="AC468" s="9">
        <v>18.845549102609624</v>
      </c>
      <c r="AD468" s="76" t="s">
        <v>66</v>
      </c>
      <c r="AE468" s="63" t="s">
        <v>124</v>
      </c>
      <c r="AF468" s="9">
        <v>18.685476356807015</v>
      </c>
      <c r="AG468" s="54" t="s">
        <v>171</v>
      </c>
      <c r="AH468" s="67" t="s">
        <v>91</v>
      </c>
      <c r="AI468" s="9">
        <v>16.65582189872147</v>
      </c>
      <c r="AJ468" s="67" t="s">
        <v>66</v>
      </c>
      <c r="AK468" s="76" t="s">
        <v>91</v>
      </c>
      <c r="AL468" s="9">
        <v>16.638124719384617</v>
      </c>
      <c r="AM468" s="54" t="s">
        <v>171</v>
      </c>
      <c r="AN468" s="70" t="s">
        <v>76</v>
      </c>
      <c r="AO468" s="9">
        <v>16.500358769774369</v>
      </c>
      <c r="AP468" s="60"/>
      <c r="AQ468" s="54" t="s">
        <v>171</v>
      </c>
      <c r="AR468" s="9">
        <v>8.3602220531320004</v>
      </c>
      <c r="AS468" s="67" t="s">
        <v>66</v>
      </c>
      <c r="AT468" s="9">
        <v>5.9068147020880009</v>
      </c>
      <c r="AU468" s="63" t="s">
        <v>171</v>
      </c>
      <c r="AV468" s="9">
        <v>3.5</v>
      </c>
      <c r="AW468" s="54" t="s">
        <v>124</v>
      </c>
      <c r="AX468" s="9">
        <v>99.13629404176001</v>
      </c>
      <c r="AY468" s="63" t="s">
        <v>124</v>
      </c>
      <c r="AZ468" s="9">
        <v>1.9827258808352002</v>
      </c>
      <c r="BA468" s="63" t="s">
        <v>171</v>
      </c>
      <c r="BB468" s="63" t="s">
        <v>124</v>
      </c>
      <c r="BC468" s="9">
        <v>10.392197765877757</v>
      </c>
      <c r="BD468" s="63" t="s">
        <v>171</v>
      </c>
      <c r="BE468" s="76" t="s">
        <v>91</v>
      </c>
      <c r="BF468" s="9">
        <v>10.147369004089898</v>
      </c>
      <c r="BG468" s="63" t="s">
        <v>171</v>
      </c>
      <c r="BH468" s="70" t="s">
        <v>76</v>
      </c>
      <c r="BI468" s="9">
        <v>9.4942875433445302</v>
      </c>
      <c r="BJ468" s="67" t="s">
        <v>66</v>
      </c>
      <c r="BK468" s="63" t="s">
        <v>124</v>
      </c>
      <c r="BL468" s="9">
        <v>9.492563907460001</v>
      </c>
      <c r="BM468" s="67" t="s">
        <v>66</v>
      </c>
      <c r="BN468" s="76" t="s">
        <v>91</v>
      </c>
      <c r="BO468" s="9">
        <v>9.35202502483064</v>
      </c>
    </row>
    <row r="469" spans="1:67" x14ac:dyDescent="0.45">
      <c r="A469" s="10">
        <v>436</v>
      </c>
      <c r="B469" s="10" t="s">
        <v>585</v>
      </c>
      <c r="C469" s="59" t="s">
        <v>2177</v>
      </c>
      <c r="D469" s="65"/>
      <c r="E469" s="80" t="s">
        <v>2340</v>
      </c>
      <c r="F469" s="64" t="s">
        <v>2341</v>
      </c>
      <c r="G469" s="63" t="s">
        <v>2342</v>
      </c>
      <c r="H469" s="10"/>
      <c r="I469" s="62">
        <v>45.837400580000001</v>
      </c>
      <c r="J469" s="62">
        <v>133.56070169</v>
      </c>
      <c r="K469" s="62">
        <v>129.60920164000001</v>
      </c>
      <c r="L469" s="49">
        <v>603.0832197198697</v>
      </c>
      <c r="M469" s="49">
        <v>857.08324591122744</v>
      </c>
      <c r="N469" s="49">
        <v>1135.3757508968461</v>
      </c>
      <c r="O469" s="61">
        <v>15.271079784885783</v>
      </c>
      <c r="P469" s="60"/>
      <c r="Q469" s="57" t="s">
        <v>101</v>
      </c>
      <c r="R469" s="9">
        <v>6.5004880696000003</v>
      </c>
      <c r="S469" s="15" t="s">
        <v>127</v>
      </c>
      <c r="T469" s="9">
        <v>4.291870029</v>
      </c>
      <c r="U469" s="15" t="s">
        <v>127</v>
      </c>
      <c r="V469" s="9">
        <v>10</v>
      </c>
      <c r="W469" s="59" t="s">
        <v>194</v>
      </c>
      <c r="X469" s="9">
        <v>23.001952278400001</v>
      </c>
      <c r="Y469" s="59" t="s">
        <v>0</v>
      </c>
      <c r="Z469" s="9">
        <v>9.6436705921904764</v>
      </c>
      <c r="AA469" s="15" t="s">
        <v>127</v>
      </c>
      <c r="AB469" s="53" t="s">
        <v>0</v>
      </c>
      <c r="AC469" s="9">
        <v>5.8747969561408455</v>
      </c>
      <c r="AD469" s="242" t="s">
        <v>101</v>
      </c>
      <c r="AE469" s="59" t="s">
        <v>0</v>
      </c>
      <c r="AF469" s="9">
        <v>5.6394621267623322</v>
      </c>
      <c r="AG469" s="15" t="s">
        <v>127</v>
      </c>
      <c r="AH469" s="57" t="s">
        <v>58</v>
      </c>
      <c r="AI469" s="9">
        <v>5.4999148601436474</v>
      </c>
      <c r="AJ469" s="15" t="s">
        <v>127</v>
      </c>
      <c r="AK469" s="59" t="s">
        <v>194</v>
      </c>
      <c r="AL469" s="9">
        <v>5.3567834245060233</v>
      </c>
      <c r="AM469" s="57" t="s">
        <v>101</v>
      </c>
      <c r="AN469" s="57" t="s">
        <v>58</v>
      </c>
      <c r="AO469" s="9">
        <v>5.3268035067104789</v>
      </c>
      <c r="AP469" s="60"/>
      <c r="AQ469" s="57" t="s">
        <v>101</v>
      </c>
      <c r="AR469" s="9">
        <v>6.7205075923840001</v>
      </c>
      <c r="AS469" s="15" t="s">
        <v>127</v>
      </c>
      <c r="AT469" s="9">
        <v>1.89382931131</v>
      </c>
      <c r="AU469" s="242" t="s">
        <v>101</v>
      </c>
      <c r="AV469" s="9">
        <v>3</v>
      </c>
      <c r="AW469" s="53" t="s">
        <v>194</v>
      </c>
      <c r="AX469" s="9">
        <v>29.602537961920003</v>
      </c>
      <c r="AY469" s="242" t="s">
        <v>58</v>
      </c>
      <c r="AZ469" s="9">
        <v>0.57838268259288894</v>
      </c>
      <c r="BA469" s="242" t="s">
        <v>101</v>
      </c>
      <c r="BB469" s="242" t="s">
        <v>58</v>
      </c>
      <c r="BC469" s="9">
        <v>3.2018202617575002</v>
      </c>
      <c r="BD469" s="242" t="s">
        <v>101</v>
      </c>
      <c r="BE469" s="59" t="s">
        <v>0</v>
      </c>
      <c r="BF469" s="9">
        <v>3.058264284053585</v>
      </c>
      <c r="BG469" s="242" t="s">
        <v>101</v>
      </c>
      <c r="BH469" s="53" t="s">
        <v>194</v>
      </c>
      <c r="BI469" s="9">
        <v>3.0097655201828575</v>
      </c>
      <c r="BJ469" s="15" t="s">
        <v>127</v>
      </c>
      <c r="BK469" s="242" t="s">
        <v>58</v>
      </c>
      <c r="BL469" s="9">
        <v>2.9207821370704257</v>
      </c>
      <c r="BM469" s="15" t="s">
        <v>127</v>
      </c>
      <c r="BN469" s="59" t="s">
        <v>0</v>
      </c>
      <c r="BO469" s="9">
        <v>2.8220366730549999</v>
      </c>
    </row>
    <row r="470" spans="1:67" x14ac:dyDescent="0.45">
      <c r="A470" s="10">
        <v>437</v>
      </c>
      <c r="B470" s="10" t="s">
        <v>17</v>
      </c>
      <c r="C470" s="59" t="s">
        <v>2177</v>
      </c>
      <c r="D470" s="65"/>
      <c r="E470" s="80" t="s">
        <v>2340</v>
      </c>
      <c r="F470" s="64" t="s">
        <v>2341</v>
      </c>
      <c r="G470" s="63" t="s">
        <v>2342</v>
      </c>
      <c r="H470" s="10"/>
      <c r="I470" s="62">
        <v>139.09280176000001</v>
      </c>
      <c r="J470" s="62">
        <v>180.18840228000002</v>
      </c>
      <c r="K470" s="62">
        <v>143.83460182000002</v>
      </c>
      <c r="L470" s="49">
        <v>2239.2354459721701</v>
      </c>
      <c r="M470" s="49">
        <v>2351.0574597923887</v>
      </c>
      <c r="N470" s="49">
        <v>2444.522449393568</v>
      </c>
      <c r="O470" s="61">
        <v>21.96033026968934</v>
      </c>
      <c r="P470" s="60"/>
      <c r="Q470" s="57" t="s">
        <v>101</v>
      </c>
      <c r="R470" s="9">
        <v>17.6911362112</v>
      </c>
      <c r="S470" s="57" t="s">
        <v>101</v>
      </c>
      <c r="T470" s="9">
        <v>11.056960131999999</v>
      </c>
      <c r="U470" s="67" t="s">
        <v>14</v>
      </c>
      <c r="V470" s="9">
        <v>10</v>
      </c>
      <c r="W470" s="59" t="s">
        <v>180</v>
      </c>
      <c r="X470" s="9">
        <v>84.455681056000003</v>
      </c>
      <c r="Y470" s="59" t="s">
        <v>180</v>
      </c>
      <c r="Z470" s="9">
        <v>31.279881872592593</v>
      </c>
      <c r="AA470" s="57" t="s">
        <v>101</v>
      </c>
      <c r="AB470" s="57" t="s">
        <v>82</v>
      </c>
      <c r="AC470" s="9">
        <v>16.608266432918033</v>
      </c>
      <c r="AD470" s="242" t="s">
        <v>101</v>
      </c>
      <c r="AE470" s="59" t="s">
        <v>0</v>
      </c>
      <c r="AF470" s="9">
        <v>15.926829252448432</v>
      </c>
      <c r="AG470" s="67" t="s">
        <v>14</v>
      </c>
      <c r="AH470" s="57" t="s">
        <v>82</v>
      </c>
      <c r="AI470" s="9">
        <v>15.42340485688889</v>
      </c>
      <c r="AJ470" s="57" t="s">
        <v>101</v>
      </c>
      <c r="AK470" s="242" t="s">
        <v>58</v>
      </c>
      <c r="AL470" s="9">
        <v>15.116136028447599</v>
      </c>
      <c r="AM470" s="57" t="s">
        <v>101</v>
      </c>
      <c r="AN470" s="53" t="s">
        <v>180</v>
      </c>
      <c r="AO470" s="9">
        <v>14.9851535636259</v>
      </c>
      <c r="AP470" s="60"/>
      <c r="AQ470" s="57" t="s">
        <v>101</v>
      </c>
      <c r="AR470" s="9">
        <v>18.358781659648002</v>
      </c>
      <c r="AS470" s="57" t="s">
        <v>101</v>
      </c>
      <c r="AT470" s="9">
        <v>4.5896954149120006</v>
      </c>
      <c r="AU470" s="76" t="s">
        <v>2518</v>
      </c>
      <c r="AV470" s="9">
        <v>3</v>
      </c>
      <c r="AW470" s="53" t="s">
        <v>180</v>
      </c>
      <c r="AX470" s="9">
        <v>120.34162391008002</v>
      </c>
      <c r="AY470" s="59" t="s">
        <v>180</v>
      </c>
      <c r="AZ470" s="9">
        <v>1.8514095986166157</v>
      </c>
      <c r="BA470" s="242" t="s">
        <v>101</v>
      </c>
      <c r="BB470" s="59" t="s">
        <v>180</v>
      </c>
      <c r="BC470" s="9">
        <v>9.6963981426400014</v>
      </c>
      <c r="BD470" s="242" t="s">
        <v>101</v>
      </c>
      <c r="BE470" s="242" t="s">
        <v>82</v>
      </c>
      <c r="BF470" s="9">
        <v>9.4545291090813812</v>
      </c>
      <c r="BG470" s="242" t="s">
        <v>101</v>
      </c>
      <c r="BH470" s="57" t="s">
        <v>58</v>
      </c>
      <c r="BI470" s="9">
        <v>9.1118813115400012</v>
      </c>
      <c r="BJ470" s="57" t="s">
        <v>101</v>
      </c>
      <c r="BK470" s="59" t="s">
        <v>0</v>
      </c>
      <c r="BL470" s="9">
        <v>8.6852600005373599</v>
      </c>
      <c r="BM470" s="67" t="s">
        <v>14</v>
      </c>
      <c r="BN470" s="59" t="s">
        <v>180</v>
      </c>
      <c r="BO470" s="9">
        <v>8.3797793817800006</v>
      </c>
    </row>
    <row r="471" spans="1:67" x14ac:dyDescent="0.45">
      <c r="A471" s="10">
        <v>438</v>
      </c>
      <c r="B471" s="10" t="s">
        <v>580</v>
      </c>
      <c r="C471" s="56" t="s">
        <v>2025</v>
      </c>
      <c r="D471" s="65"/>
      <c r="E471" s="58" t="s">
        <v>2289</v>
      </c>
      <c r="F471" s="64" t="s">
        <v>2290</v>
      </c>
      <c r="G471" s="242"/>
      <c r="H471" s="10"/>
      <c r="I471" s="62">
        <v>109.85170139</v>
      </c>
      <c r="J471" s="62">
        <v>116.96440148000001</v>
      </c>
      <c r="K471" s="62">
        <v>120.12560152</v>
      </c>
      <c r="L471" s="49">
        <v>1302.1212510594703</v>
      </c>
      <c r="M471" s="49">
        <v>1335.561969591819</v>
      </c>
      <c r="N471" s="49">
        <v>1362.9318408199513</v>
      </c>
      <c r="O471" s="61">
        <v>12.579110905947132</v>
      </c>
      <c r="P471" s="60"/>
      <c r="Q471" s="52" t="s">
        <v>41</v>
      </c>
      <c r="R471" s="9">
        <v>8.90932250008</v>
      </c>
      <c r="S471" s="52" t="s">
        <v>41</v>
      </c>
      <c r="T471" s="9">
        <v>9.8992472223111108</v>
      </c>
      <c r="U471" s="55" t="s">
        <v>45</v>
      </c>
      <c r="V471" s="9">
        <v>8.89</v>
      </c>
      <c r="W471" s="80" t="s">
        <v>79</v>
      </c>
      <c r="X471" s="9">
        <v>77.896190973000003</v>
      </c>
      <c r="Y471" s="80" t="s">
        <v>79</v>
      </c>
      <c r="Z471" s="9">
        <v>21.637830825833333</v>
      </c>
      <c r="AA471" s="52" t="s">
        <v>41</v>
      </c>
      <c r="AB471" s="52" t="s">
        <v>40</v>
      </c>
      <c r="AC471" s="9">
        <v>12.857086724169013</v>
      </c>
      <c r="AD471" s="56" t="s">
        <v>41</v>
      </c>
      <c r="AE471" s="80" t="s">
        <v>79</v>
      </c>
      <c r="AF471" s="9">
        <v>12.370527980947369</v>
      </c>
      <c r="AG471" s="55" t="s">
        <v>45</v>
      </c>
      <c r="AH471" s="52" t="s">
        <v>40</v>
      </c>
      <c r="AI471" s="9">
        <v>12.152937500114113</v>
      </c>
      <c r="AJ471" s="55" t="s">
        <v>45</v>
      </c>
      <c r="AK471" s="80" t="s">
        <v>79</v>
      </c>
      <c r="AL471" s="9">
        <v>11.541210330535948</v>
      </c>
      <c r="AM471" s="52" t="s">
        <v>41</v>
      </c>
      <c r="AN471" s="52" t="s">
        <v>1488</v>
      </c>
      <c r="AO471" s="9">
        <v>11.504898028050444</v>
      </c>
      <c r="AP471" s="60"/>
      <c r="AQ471" s="52" t="s">
        <v>41</v>
      </c>
      <c r="AR471" s="9">
        <v>7.8547461667360006</v>
      </c>
      <c r="AS471" s="52" t="s">
        <v>41</v>
      </c>
      <c r="AT471" s="9">
        <v>3.9273730833680003</v>
      </c>
      <c r="AU471" s="58" t="s">
        <v>45</v>
      </c>
      <c r="AV471" s="9">
        <v>3.5</v>
      </c>
      <c r="AW471" s="71" t="s">
        <v>79</v>
      </c>
      <c r="AX471" s="9">
        <v>86.684327084200007</v>
      </c>
      <c r="AY471" s="56" t="s">
        <v>40</v>
      </c>
      <c r="AZ471" s="9">
        <v>1.5454991481635554</v>
      </c>
      <c r="BA471" s="58" t="s">
        <v>45</v>
      </c>
      <c r="BB471" s="56" t="s">
        <v>40</v>
      </c>
      <c r="BC471" s="9">
        <v>8.1328372466404115</v>
      </c>
      <c r="BD471" s="58" t="s">
        <v>45</v>
      </c>
      <c r="BE471" s="80" t="s">
        <v>79</v>
      </c>
      <c r="BF471" s="9">
        <v>7.6137886152379552</v>
      </c>
      <c r="BG471" s="56" t="s">
        <v>41</v>
      </c>
      <c r="BH471" s="52" t="s">
        <v>40</v>
      </c>
      <c r="BI471" s="9">
        <v>7.3810619562096846</v>
      </c>
      <c r="BJ471" s="52" t="s">
        <v>41</v>
      </c>
      <c r="BK471" s="80" t="s">
        <v>79</v>
      </c>
      <c r="BL471" s="9">
        <v>6.9924454537691858</v>
      </c>
      <c r="BM471" s="55" t="s">
        <v>45</v>
      </c>
      <c r="BN471" s="56" t="s">
        <v>1488</v>
      </c>
      <c r="BO471" s="9">
        <v>6.5322087484203148</v>
      </c>
    </row>
    <row r="472" spans="1:67" x14ac:dyDescent="0.45">
      <c r="A472" s="10">
        <v>439</v>
      </c>
      <c r="B472" s="10" t="s">
        <v>578</v>
      </c>
      <c r="C472" s="242" t="s">
        <v>2133</v>
      </c>
      <c r="D472" s="65"/>
      <c r="E472" s="63" t="s">
        <v>2267</v>
      </c>
      <c r="F472" s="242" t="s">
        <v>1925</v>
      </c>
      <c r="G472" s="58" t="s">
        <v>2268</v>
      </c>
      <c r="H472" s="10"/>
      <c r="I472" s="62">
        <v>110.64200140000001</v>
      </c>
      <c r="J472" s="62">
        <v>124.07710157000001</v>
      </c>
      <c r="K472" s="62">
        <v>79.030000999999999</v>
      </c>
      <c r="L472" s="49">
        <v>1095.6247560836518</v>
      </c>
      <c r="M472" s="49">
        <v>1055.850508932426</v>
      </c>
      <c r="N472" s="49">
        <v>1025.0732750625002</v>
      </c>
      <c r="O472" s="61">
        <v>8.7234349382781744</v>
      </c>
      <c r="P472" s="60"/>
      <c r="Q472" s="57" t="s">
        <v>101</v>
      </c>
      <c r="R472" s="9">
        <v>14.277040168000001</v>
      </c>
      <c r="S472" s="57" t="s">
        <v>101</v>
      </c>
      <c r="T472" s="9">
        <v>8.9231501049999995</v>
      </c>
      <c r="U472" s="15" t="s">
        <v>288</v>
      </c>
      <c r="V472" s="9">
        <v>10</v>
      </c>
      <c r="W472" s="242" t="s">
        <v>82</v>
      </c>
      <c r="X472" s="9">
        <v>60.746680756000003</v>
      </c>
      <c r="Y472" s="242" t="s">
        <v>82</v>
      </c>
      <c r="Z472" s="9">
        <v>21.695243127142859</v>
      </c>
      <c r="AA472" s="57" t="s">
        <v>101</v>
      </c>
      <c r="AB472" s="57" t="s">
        <v>82</v>
      </c>
      <c r="AC472" s="9">
        <v>13.320100161803282</v>
      </c>
      <c r="AD472" s="64" t="s">
        <v>288</v>
      </c>
      <c r="AE472" s="242" t="s">
        <v>82</v>
      </c>
      <c r="AF472" s="9">
        <v>12.993666388589746</v>
      </c>
      <c r="AG472" s="57" t="s">
        <v>101</v>
      </c>
      <c r="AH472" s="57" t="s">
        <v>58</v>
      </c>
      <c r="AI472" s="9">
        <v>12.129560004866786</v>
      </c>
      <c r="AJ472" s="15" t="s">
        <v>288</v>
      </c>
      <c r="AK472" s="242" t="s">
        <v>58</v>
      </c>
      <c r="AL472" s="9">
        <v>11.804363303204418</v>
      </c>
      <c r="AM472" s="57" t="s">
        <v>101</v>
      </c>
      <c r="AN472" s="57" t="s">
        <v>1516</v>
      </c>
      <c r="AO472" s="9">
        <v>11.139817322031252</v>
      </c>
      <c r="AP472" s="60"/>
      <c r="AQ472" s="57" t="s">
        <v>101</v>
      </c>
      <c r="AR472" s="9">
        <v>14.808121774720002</v>
      </c>
      <c r="AS472" s="57" t="s">
        <v>101</v>
      </c>
      <c r="AT472" s="9">
        <v>3.7020304436800004</v>
      </c>
      <c r="AU472" s="242" t="s">
        <v>101</v>
      </c>
      <c r="AV472" s="9">
        <v>3</v>
      </c>
      <c r="AW472" s="57" t="s">
        <v>82</v>
      </c>
      <c r="AX472" s="9">
        <v>78.670684982800012</v>
      </c>
      <c r="AY472" s="242" t="s">
        <v>82</v>
      </c>
      <c r="AZ472" s="9">
        <v>1.4303760905963638</v>
      </c>
      <c r="BA472" s="242" t="s">
        <v>101</v>
      </c>
      <c r="BB472" s="242" t="s">
        <v>82</v>
      </c>
      <c r="BC472" s="9">
        <v>7.5797194715655181</v>
      </c>
      <c r="BD472" s="242" t="s">
        <v>101</v>
      </c>
      <c r="BE472" s="242" t="s">
        <v>58</v>
      </c>
      <c r="BF472" s="9">
        <v>7.308811838725001</v>
      </c>
      <c r="BG472" s="242" t="s">
        <v>101</v>
      </c>
      <c r="BH472" s="57" t="s">
        <v>1516</v>
      </c>
      <c r="BI472" s="9">
        <v>6.4500543637142869</v>
      </c>
      <c r="BJ472" s="15" t="s">
        <v>288</v>
      </c>
      <c r="BK472" s="242" t="s">
        <v>82</v>
      </c>
      <c r="BL472" s="9">
        <v>4.9776782231026324</v>
      </c>
      <c r="BM472" s="15" t="s">
        <v>288</v>
      </c>
      <c r="BN472" s="242" t="s">
        <v>58</v>
      </c>
      <c r="BO472" s="9">
        <v>4.8133623202670215</v>
      </c>
    </row>
    <row r="473" spans="1:67" x14ac:dyDescent="0.45">
      <c r="A473" s="10">
        <v>440</v>
      </c>
      <c r="B473" s="10" t="s">
        <v>575</v>
      </c>
      <c r="C473" s="64" t="s">
        <v>1889</v>
      </c>
      <c r="D473" s="65"/>
      <c r="E473" s="58" t="s">
        <v>1903</v>
      </c>
      <c r="F473" s="77"/>
      <c r="G473" s="77" t="s">
        <v>1888</v>
      </c>
      <c r="H473" s="10"/>
      <c r="I473" s="62">
        <v>31.612000400000003</v>
      </c>
      <c r="J473" s="62">
        <v>72.707600920000004</v>
      </c>
      <c r="K473" s="62">
        <v>189.67200240000003</v>
      </c>
      <c r="L473" s="49">
        <v>371.23037214636395</v>
      </c>
      <c r="M473" s="49">
        <v>574.94109061260451</v>
      </c>
      <c r="N473" s="49">
        <v>815.84419295677003</v>
      </c>
      <c r="O473" s="61">
        <v>12.855876330482863</v>
      </c>
      <c r="P473" s="60"/>
      <c r="Q473" s="57" t="s">
        <v>95</v>
      </c>
      <c r="R473" s="9">
        <v>2.8967200240000004</v>
      </c>
      <c r="S473" s="15" t="s">
        <v>288</v>
      </c>
      <c r="T473" s="9">
        <v>3.8795066946666674</v>
      </c>
      <c r="U473" s="15" t="s">
        <v>288</v>
      </c>
      <c r="V473" s="9">
        <v>10</v>
      </c>
      <c r="W473" s="65" t="s">
        <v>63</v>
      </c>
      <c r="X473" s="9">
        <v>16.8060002</v>
      </c>
      <c r="Y473" s="242" t="s">
        <v>82</v>
      </c>
      <c r="Z473" s="9">
        <v>5.437642921428572</v>
      </c>
      <c r="AA473" s="15" t="s">
        <v>288</v>
      </c>
      <c r="AB473" s="57" t="s">
        <v>82</v>
      </c>
      <c r="AC473" s="9">
        <v>4.4388376478632487</v>
      </c>
      <c r="AD473" s="64" t="s">
        <v>288</v>
      </c>
      <c r="AE473" s="65" t="s">
        <v>63</v>
      </c>
      <c r="AF473" s="9">
        <v>4.2592392556862748</v>
      </c>
      <c r="AG473" s="57" t="s">
        <v>95</v>
      </c>
      <c r="AH473" s="57" t="s">
        <v>82</v>
      </c>
      <c r="AI473" s="9">
        <v>3.5793976265060241</v>
      </c>
      <c r="AJ473" s="57" t="s">
        <v>95</v>
      </c>
      <c r="AK473" s="65" t="s">
        <v>63</v>
      </c>
      <c r="AL473" s="9">
        <v>3.4766222577777781</v>
      </c>
      <c r="AM473" s="57"/>
      <c r="AN473" s="57"/>
      <c r="AO473" s="9"/>
      <c r="AP473" s="60"/>
      <c r="AQ473" s="57" t="s">
        <v>95</v>
      </c>
      <c r="AR473" s="9">
        <v>2.6438240208000003</v>
      </c>
      <c r="AS473" s="15" t="s">
        <v>288</v>
      </c>
      <c r="AT473" s="9">
        <v>1.1164340078000001</v>
      </c>
      <c r="AU473" s="242" t="s">
        <v>2454</v>
      </c>
      <c r="AV473" s="9">
        <v>2</v>
      </c>
      <c r="AW473" s="14" t="s">
        <v>63</v>
      </c>
      <c r="AX473" s="9">
        <v>23.602580286000002</v>
      </c>
      <c r="AY473" s="242" t="s">
        <v>82</v>
      </c>
      <c r="AZ473" s="9">
        <v>0.35441854970909098</v>
      </c>
      <c r="BA473" s="64" t="s">
        <v>288</v>
      </c>
      <c r="BB473" s="242" t="s">
        <v>82</v>
      </c>
      <c r="BC473" s="9">
        <v>1.7612265069649125</v>
      </c>
      <c r="BD473" s="64" t="s">
        <v>288</v>
      </c>
      <c r="BE473" s="65" t="s">
        <v>63</v>
      </c>
      <c r="BF473" s="9">
        <v>1.7410491821944447</v>
      </c>
      <c r="BG473" s="242" t="s">
        <v>95</v>
      </c>
      <c r="BH473" s="57" t="s">
        <v>82</v>
      </c>
      <c r="BI473" s="9">
        <v>1.5343183774736844</v>
      </c>
      <c r="BJ473" s="57" t="s">
        <v>95</v>
      </c>
      <c r="BK473" s="65" t="s">
        <v>63</v>
      </c>
      <c r="BL473" s="9">
        <v>1.5124220517222224</v>
      </c>
      <c r="BM473" s="15"/>
      <c r="BN473" s="78"/>
      <c r="BO473" s="9"/>
    </row>
    <row r="474" spans="1:67" x14ac:dyDescent="0.45">
      <c r="A474" s="10">
        <v>441</v>
      </c>
      <c r="B474" s="10" t="s">
        <v>572</v>
      </c>
      <c r="C474" s="64" t="s">
        <v>2110</v>
      </c>
      <c r="D474" s="65"/>
      <c r="E474" s="56" t="s">
        <v>2208</v>
      </c>
      <c r="F474" s="289" t="s">
        <v>2118</v>
      </c>
      <c r="G474" s="80" t="s">
        <v>2191</v>
      </c>
      <c r="H474" s="10"/>
      <c r="I474" s="62">
        <v>156.47940198000001</v>
      </c>
      <c r="J474" s="62">
        <v>83.771801060000001</v>
      </c>
      <c r="K474" s="62">
        <v>156.47940198000001</v>
      </c>
      <c r="L474" s="49">
        <v>1791.5737595856076</v>
      </c>
      <c r="M474" s="49">
        <v>1614.3888103715965</v>
      </c>
      <c r="N474" s="49">
        <v>1485.3434840683926</v>
      </c>
      <c r="O474" s="61">
        <v>12.095315009889811</v>
      </c>
      <c r="P474" s="60"/>
      <c r="Q474" s="16" t="s">
        <v>1515</v>
      </c>
      <c r="R474" s="9">
        <v>10.388764118799999</v>
      </c>
      <c r="S474" s="53" t="s">
        <v>185</v>
      </c>
      <c r="T474" s="9">
        <v>12.007958886125</v>
      </c>
      <c r="U474" s="16" t="s">
        <v>1515</v>
      </c>
      <c r="V474" s="9">
        <v>10</v>
      </c>
      <c r="W474" s="287" t="s">
        <v>229</v>
      </c>
      <c r="X474" s="9">
        <v>76.110112950399994</v>
      </c>
      <c r="Y474" s="287" t="s">
        <v>229</v>
      </c>
      <c r="Z474" s="9">
        <v>38.055056475199997</v>
      </c>
      <c r="AA474" s="16" t="s">
        <v>1515</v>
      </c>
      <c r="AB474" s="16" t="s">
        <v>229</v>
      </c>
      <c r="AC474" s="9">
        <v>18.293419077771429</v>
      </c>
      <c r="AD474" s="59" t="s">
        <v>185</v>
      </c>
      <c r="AE474" s="287" t="s">
        <v>229</v>
      </c>
      <c r="AF474" s="9">
        <v>18.018827560526923</v>
      </c>
      <c r="AG474" s="53" t="s">
        <v>185</v>
      </c>
      <c r="AH474" s="70" t="s">
        <v>270</v>
      </c>
      <c r="AI474" s="9">
        <v>14.375660047698794</v>
      </c>
      <c r="AJ474" s="53" t="s">
        <v>185</v>
      </c>
      <c r="AK474" s="77" t="s">
        <v>129</v>
      </c>
      <c r="AL474" s="9">
        <v>13.812612931816547</v>
      </c>
      <c r="AM474" s="16" t="s">
        <v>1515</v>
      </c>
      <c r="AN474" s="70" t="s">
        <v>270</v>
      </c>
      <c r="AO474" s="9">
        <v>13.785796702192307</v>
      </c>
      <c r="AP474" s="60"/>
      <c r="AQ474" s="16" t="s">
        <v>1515</v>
      </c>
      <c r="AR474" s="9">
        <v>8.323236012664001</v>
      </c>
      <c r="AS474" s="16" t="s">
        <v>1515</v>
      </c>
      <c r="AT474" s="9">
        <v>4.1616180063320005</v>
      </c>
      <c r="AU474" s="287" t="s">
        <v>2451</v>
      </c>
      <c r="AV474" s="9">
        <v>2.5</v>
      </c>
      <c r="AW474" s="16" t="s">
        <v>229</v>
      </c>
      <c r="AX474" s="9">
        <v>98.643146835520014</v>
      </c>
      <c r="AY474" s="287" t="s">
        <v>229</v>
      </c>
      <c r="AZ474" s="9">
        <v>2.1920699296782225</v>
      </c>
      <c r="BA474" s="287" t="s">
        <v>1515</v>
      </c>
      <c r="BB474" s="287" t="s">
        <v>229</v>
      </c>
      <c r="BC474" s="9">
        <v>9.1343300499734763</v>
      </c>
      <c r="BD474" s="59" t="s">
        <v>185</v>
      </c>
      <c r="BE474" s="287" t="s">
        <v>229</v>
      </c>
      <c r="BF474" s="9">
        <v>9.0379716813857893</v>
      </c>
      <c r="BG474" s="287" t="s">
        <v>1515</v>
      </c>
      <c r="BH474" s="70" t="s">
        <v>270</v>
      </c>
      <c r="BI474" s="9">
        <v>7.1765990616970967</v>
      </c>
      <c r="BJ474" s="53" t="s">
        <v>185</v>
      </c>
      <c r="BK474" s="75" t="s">
        <v>270</v>
      </c>
      <c r="BL474" s="9">
        <v>7.0781684701290324</v>
      </c>
      <c r="BM474" s="16" t="s">
        <v>1515</v>
      </c>
      <c r="BN474" s="77" t="s">
        <v>129</v>
      </c>
      <c r="BO474" s="9">
        <v>6.6775027352827836</v>
      </c>
    </row>
    <row r="475" spans="1:67" x14ac:dyDescent="0.45">
      <c r="A475" s="10">
        <v>442</v>
      </c>
      <c r="B475" s="10" t="s">
        <v>569</v>
      </c>
      <c r="C475" s="77" t="s">
        <v>2167</v>
      </c>
      <c r="D475" s="65"/>
      <c r="E475" s="65" t="s">
        <v>1894</v>
      </c>
      <c r="F475" s="58" t="s">
        <v>2184</v>
      </c>
      <c r="G475" s="64" t="s">
        <v>2148</v>
      </c>
      <c r="H475" s="10"/>
      <c r="I475" s="62">
        <v>145.41520184000001</v>
      </c>
      <c r="J475" s="62">
        <v>169.12420214000002</v>
      </c>
      <c r="K475" s="62">
        <v>120.12560152</v>
      </c>
      <c r="L475" s="49">
        <v>2072.6715133190569</v>
      </c>
      <c r="M475" s="49">
        <v>2058.8945202568043</v>
      </c>
      <c r="N475" s="49">
        <v>2047.9388893066887</v>
      </c>
      <c r="O475" s="61">
        <v>17.377235435268801</v>
      </c>
      <c r="P475" s="60"/>
      <c r="Q475" s="67" t="s">
        <v>14</v>
      </c>
      <c r="R475" s="9">
        <v>9.7249121104</v>
      </c>
      <c r="S475" s="67" t="s">
        <v>14</v>
      </c>
      <c r="T475" s="9">
        <v>10.805457900444445</v>
      </c>
      <c r="U475" s="67" t="s">
        <v>266</v>
      </c>
      <c r="V475" s="9">
        <v>11.429</v>
      </c>
      <c r="W475" s="77" t="s">
        <v>73</v>
      </c>
      <c r="X475" s="9">
        <v>88.249121103999997</v>
      </c>
      <c r="Y475" s="77" t="s">
        <v>73</v>
      </c>
      <c r="Z475" s="9">
        <v>29.416373701333331</v>
      </c>
      <c r="AA475" s="67" t="s">
        <v>266</v>
      </c>
      <c r="AB475" s="68" t="s">
        <v>73</v>
      </c>
      <c r="AC475" s="9">
        <v>17.989235469423729</v>
      </c>
      <c r="AD475" s="76" t="s">
        <v>14</v>
      </c>
      <c r="AE475" s="77" t="s">
        <v>73</v>
      </c>
      <c r="AF475" s="9">
        <v>17.784551325777777</v>
      </c>
      <c r="AG475" s="67" t="s">
        <v>14</v>
      </c>
      <c r="AH475" s="68" t="s">
        <v>1486</v>
      </c>
      <c r="AI475" s="9">
        <v>14.315281695884286</v>
      </c>
      <c r="AJ475" s="67" t="s">
        <v>266</v>
      </c>
      <c r="AK475" s="77" t="s">
        <v>1486</v>
      </c>
      <c r="AL475" s="9">
        <v>14.23109665316294</v>
      </c>
      <c r="AM475" s="67" t="s">
        <v>14</v>
      </c>
      <c r="AN475" s="68" t="s">
        <v>151</v>
      </c>
      <c r="AO475" s="9">
        <v>12.937340142269756</v>
      </c>
      <c r="AP475" s="60"/>
      <c r="AQ475" s="67" t="s">
        <v>14</v>
      </c>
      <c r="AR475" s="9">
        <v>7.8054314461120002</v>
      </c>
      <c r="AS475" s="67" t="s">
        <v>14</v>
      </c>
      <c r="AT475" s="9">
        <v>3.9027157230560001</v>
      </c>
      <c r="AU475" s="76" t="s">
        <v>266</v>
      </c>
      <c r="AV475" s="9">
        <v>3.5</v>
      </c>
      <c r="AW475" s="68" t="s">
        <v>73</v>
      </c>
      <c r="AX475" s="9">
        <v>114.42385743520001</v>
      </c>
      <c r="AY475" s="77" t="s">
        <v>73</v>
      </c>
      <c r="AZ475" s="9">
        <v>2.080433771549091</v>
      </c>
      <c r="BA475" s="76" t="s">
        <v>266</v>
      </c>
      <c r="BB475" s="77" t="s">
        <v>73</v>
      </c>
      <c r="BC475" s="9">
        <v>9.9819026495145291</v>
      </c>
      <c r="BD475" s="76" t="s">
        <v>14</v>
      </c>
      <c r="BE475" s="77" t="s">
        <v>73</v>
      </c>
      <c r="BF475" s="9">
        <v>9.6193265012703453</v>
      </c>
      <c r="BG475" s="76" t="s">
        <v>266</v>
      </c>
      <c r="BH475" s="68" t="s">
        <v>1486</v>
      </c>
      <c r="BI475" s="9">
        <v>7.7107036309609196</v>
      </c>
      <c r="BJ475" s="67" t="s">
        <v>14</v>
      </c>
      <c r="BK475" s="77" t="s">
        <v>1486</v>
      </c>
      <c r="BL475" s="9">
        <v>7.6568468622102328</v>
      </c>
      <c r="BM475" s="67" t="s">
        <v>14</v>
      </c>
      <c r="BN475" s="77" t="s">
        <v>151</v>
      </c>
      <c r="BO475" s="9">
        <v>7.2657915352150004</v>
      </c>
    </row>
    <row r="476" spans="1:67" x14ac:dyDescent="0.45">
      <c r="A476" s="10">
        <v>443</v>
      </c>
      <c r="B476" s="10" t="s">
        <v>566</v>
      </c>
      <c r="C476" s="80" t="s">
        <v>2173</v>
      </c>
      <c r="D476" s="291" t="s">
        <v>1919</v>
      </c>
      <c r="E476" s="78" t="s">
        <v>2312</v>
      </c>
      <c r="F476" s="63" t="s">
        <v>2224</v>
      </c>
      <c r="G476" s="242"/>
      <c r="H476" s="290" t="s">
        <v>1992</v>
      </c>
      <c r="I476" s="62">
        <v>109.85170139</v>
      </c>
      <c r="J476" s="62">
        <v>78.239700990000003</v>
      </c>
      <c r="K476" s="62">
        <v>131.18980166</v>
      </c>
      <c r="L476" s="49">
        <v>1112.9365784715599</v>
      </c>
      <c r="M476" s="49">
        <v>1083.3181767349481</v>
      </c>
      <c r="N476" s="49">
        <v>1060.1919957978419</v>
      </c>
      <c r="O476" s="61">
        <v>9.5194517929469189</v>
      </c>
      <c r="P476" s="60"/>
      <c r="Q476" s="15" t="s">
        <v>173</v>
      </c>
      <c r="R476" s="9">
        <v>5.3940680556</v>
      </c>
      <c r="S476" s="71" t="s">
        <v>144</v>
      </c>
      <c r="T476" s="9">
        <v>7.1592517361666665</v>
      </c>
      <c r="U476" s="71" t="s">
        <v>144</v>
      </c>
      <c r="V476" s="9">
        <v>11.667</v>
      </c>
      <c r="W476" s="80" t="s">
        <v>1490</v>
      </c>
      <c r="X476" s="9">
        <v>66.911020833999999</v>
      </c>
      <c r="Y476" s="64" t="s">
        <v>1480</v>
      </c>
      <c r="Z476" s="9">
        <v>14.980487025</v>
      </c>
      <c r="AA476" s="71" t="s">
        <v>144</v>
      </c>
      <c r="AB476" s="71" t="s">
        <v>1490</v>
      </c>
      <c r="AC476" s="9">
        <v>10.860964990826709</v>
      </c>
      <c r="AD476" s="80" t="s">
        <v>144</v>
      </c>
      <c r="AE476" s="64" t="s">
        <v>1480</v>
      </c>
      <c r="AF476" s="9">
        <v>10.283048413088089</v>
      </c>
      <c r="AG476" s="71" t="s">
        <v>144</v>
      </c>
      <c r="AH476" s="66" t="s">
        <v>1514</v>
      </c>
      <c r="AI476" s="9">
        <v>9.0354734936978112</v>
      </c>
      <c r="AJ476" s="15" t="s">
        <v>173</v>
      </c>
      <c r="AK476" s="80" t="s">
        <v>1490</v>
      </c>
      <c r="AL476" s="9">
        <v>8.7739589824299067</v>
      </c>
      <c r="AM476" s="15" t="s">
        <v>173</v>
      </c>
      <c r="AN476" s="15" t="s">
        <v>1480</v>
      </c>
      <c r="AO476" s="9">
        <v>7.8717207117796599</v>
      </c>
      <c r="AP476" s="60"/>
      <c r="AQ476" s="15" t="s">
        <v>173</v>
      </c>
      <c r="AR476" s="9">
        <v>4.5701802951750006</v>
      </c>
      <c r="AS476" s="71" t="s">
        <v>144</v>
      </c>
      <c r="AT476" s="9">
        <v>1.7852649062630002</v>
      </c>
      <c r="AU476" s="80" t="s">
        <v>144</v>
      </c>
      <c r="AV476" s="9">
        <v>4.5</v>
      </c>
      <c r="AW476" s="71" t="s">
        <v>1490</v>
      </c>
      <c r="AX476" s="9">
        <v>86.684327084200007</v>
      </c>
      <c r="AY476" s="64" t="s">
        <v>1480</v>
      </c>
      <c r="AZ476" s="9">
        <v>1.2526332440600001</v>
      </c>
      <c r="BA476" s="80" t="s">
        <v>144</v>
      </c>
      <c r="BB476" s="64" t="s">
        <v>1480</v>
      </c>
      <c r="BC476" s="9">
        <v>6.5765571559153164</v>
      </c>
      <c r="BD476" s="80" t="s">
        <v>144</v>
      </c>
      <c r="BE476" s="80" t="s">
        <v>1490</v>
      </c>
      <c r="BF476" s="9">
        <v>6.3065167382241425</v>
      </c>
      <c r="BG476" s="80" t="s">
        <v>144</v>
      </c>
      <c r="BH476" s="66" t="s">
        <v>1514</v>
      </c>
      <c r="BI476" s="9">
        <v>5.2191451136836369</v>
      </c>
      <c r="BJ476" s="15" t="s">
        <v>173</v>
      </c>
      <c r="BK476" s="64" t="s">
        <v>1480</v>
      </c>
      <c r="BL476" s="9">
        <v>4.5194125545834076</v>
      </c>
      <c r="BM476" s="15" t="s">
        <v>173</v>
      </c>
      <c r="BN476" s="80" t="s">
        <v>1490</v>
      </c>
      <c r="BO476" s="9">
        <v>4.2705203237403229</v>
      </c>
    </row>
    <row r="477" spans="1:67" x14ac:dyDescent="0.45">
      <c r="A477" s="10">
        <v>444</v>
      </c>
      <c r="B477" s="10" t="s">
        <v>564</v>
      </c>
      <c r="C477" s="80" t="s">
        <v>2173</v>
      </c>
      <c r="D477" s="291" t="s">
        <v>1919</v>
      </c>
      <c r="E477" s="78" t="s">
        <v>2312</v>
      </c>
      <c r="F477" s="63" t="s">
        <v>2224</v>
      </c>
      <c r="G477" s="242"/>
      <c r="H477" s="290" t="s">
        <v>1992</v>
      </c>
      <c r="I477" s="62">
        <v>147.78610187000001</v>
      </c>
      <c r="J477" s="62">
        <v>110.64200140000001</v>
      </c>
      <c r="K477" s="62">
        <v>145.41520184000001</v>
      </c>
      <c r="L477" s="49">
        <v>1874.5563962271033</v>
      </c>
      <c r="M477" s="49">
        <v>1781.4581253365509</v>
      </c>
      <c r="N477" s="49">
        <v>1710.3197249715008</v>
      </c>
      <c r="O477" s="61">
        <v>14.486242142186075</v>
      </c>
      <c r="P477" s="60"/>
      <c r="Q477" s="15" t="s">
        <v>173</v>
      </c>
      <c r="R477" s="9">
        <v>6.9114440748000003</v>
      </c>
      <c r="S477" s="71" t="s">
        <v>144</v>
      </c>
      <c r="T477" s="9">
        <v>9.0559717601666669</v>
      </c>
      <c r="U477" s="71" t="s">
        <v>144</v>
      </c>
      <c r="V477" s="9">
        <v>11.667</v>
      </c>
      <c r="W477" s="80" t="s">
        <v>1490</v>
      </c>
      <c r="X477" s="9">
        <v>89.671661122000003</v>
      </c>
      <c r="Y477" s="75" t="s">
        <v>76</v>
      </c>
      <c r="Z477" s="9">
        <v>23.965970752045454</v>
      </c>
      <c r="AA477" s="71" t="s">
        <v>144</v>
      </c>
      <c r="AB477" s="71" t="s">
        <v>1490</v>
      </c>
      <c r="AC477" s="9">
        <v>14.298581568505565</v>
      </c>
      <c r="AD477" s="80" t="s">
        <v>144</v>
      </c>
      <c r="AE477" s="75" t="s">
        <v>76</v>
      </c>
      <c r="AF477" s="9">
        <v>14.113548510715859</v>
      </c>
      <c r="AG477" s="71" t="s">
        <v>144</v>
      </c>
      <c r="AH477" s="66" t="s">
        <v>1514</v>
      </c>
      <c r="AI477" s="9">
        <v>11.803918377212964</v>
      </c>
      <c r="AJ477" s="15" t="s">
        <v>173</v>
      </c>
      <c r="AK477" s="80" t="s">
        <v>1490</v>
      </c>
      <c r="AL477" s="9">
        <v>11.610175840747663</v>
      </c>
      <c r="AM477" s="15" t="s">
        <v>173</v>
      </c>
      <c r="AN477" s="70" t="s">
        <v>76</v>
      </c>
      <c r="AO477" s="9">
        <v>10.644189759573171</v>
      </c>
      <c r="AP477" s="60"/>
      <c r="AQ477" s="15" t="s">
        <v>173</v>
      </c>
      <c r="AR477" s="9">
        <v>5.8030483107750008</v>
      </c>
      <c r="AS477" s="71" t="s">
        <v>144</v>
      </c>
      <c r="AT477" s="9">
        <v>2.2290973918790002</v>
      </c>
      <c r="AU477" s="80" t="s">
        <v>144</v>
      </c>
      <c r="AV477" s="9">
        <v>4.5</v>
      </c>
      <c r="AW477" s="71" t="s">
        <v>1490</v>
      </c>
      <c r="AX477" s="9">
        <v>116.27315945860001</v>
      </c>
      <c r="AY477" s="75" t="s">
        <v>76</v>
      </c>
      <c r="AZ477" s="9">
        <v>1.5900885380718184</v>
      </c>
      <c r="BA477" s="80" t="s">
        <v>144</v>
      </c>
      <c r="BB477" s="75" t="s">
        <v>76</v>
      </c>
      <c r="BC477" s="9">
        <v>8.6747440290104212</v>
      </c>
      <c r="BD477" s="80" t="s">
        <v>144</v>
      </c>
      <c r="BE477" s="80" t="s">
        <v>1490</v>
      </c>
      <c r="BF477" s="9">
        <v>8.302449809633373</v>
      </c>
      <c r="BG477" s="80" t="s">
        <v>144</v>
      </c>
      <c r="BH477" s="66" t="s">
        <v>1514</v>
      </c>
      <c r="BI477" s="9">
        <v>6.8330814250145462</v>
      </c>
      <c r="BJ477" s="15" t="s">
        <v>173</v>
      </c>
      <c r="BK477" s="75" t="s">
        <v>76</v>
      </c>
      <c r="BL477" s="9">
        <v>5.8890555713539028</v>
      </c>
      <c r="BM477" s="15" t="s">
        <v>173</v>
      </c>
      <c r="BN477" s="80" t="s">
        <v>1490</v>
      </c>
      <c r="BO477" s="9">
        <v>5.6226981473016133</v>
      </c>
    </row>
    <row r="478" spans="1:67" x14ac:dyDescent="0.45">
      <c r="A478" s="10">
        <v>445</v>
      </c>
      <c r="B478" s="10" t="s">
        <v>561</v>
      </c>
      <c r="C478" s="80" t="s">
        <v>2173</v>
      </c>
      <c r="D478" s="291" t="s">
        <v>1919</v>
      </c>
      <c r="E478" s="78" t="s">
        <v>2312</v>
      </c>
      <c r="F478" s="63" t="s">
        <v>2224</v>
      </c>
      <c r="G478" s="242"/>
      <c r="H478" s="290" t="s">
        <v>1992</v>
      </c>
      <c r="I478" s="62">
        <v>218.12280276000001</v>
      </c>
      <c r="J478" s="62">
        <v>164.38240208000002</v>
      </c>
      <c r="K478" s="62">
        <v>200.73620254000002</v>
      </c>
      <c r="L478" s="49">
        <v>3962.2473418657573</v>
      </c>
      <c r="M478" s="49">
        <v>3727.8182542015988</v>
      </c>
      <c r="N478" s="49">
        <v>3550.3016064824742</v>
      </c>
      <c r="O478" s="61">
        <v>28.33905691033922</v>
      </c>
      <c r="P478" s="60"/>
      <c r="Q478" s="66" t="s">
        <v>88</v>
      </c>
      <c r="R478" s="9">
        <v>20.6310522484</v>
      </c>
      <c r="S478" s="66" t="s">
        <v>88</v>
      </c>
      <c r="T478" s="9">
        <v>18.755502043999996</v>
      </c>
      <c r="U478" s="71" t="s">
        <v>144</v>
      </c>
      <c r="V478" s="9">
        <v>11.667</v>
      </c>
      <c r="W478" s="80" t="s">
        <v>79</v>
      </c>
      <c r="X478" s="9">
        <v>184.22315431839999</v>
      </c>
      <c r="Y478" s="80" t="s">
        <v>79</v>
      </c>
      <c r="Z478" s="9">
        <v>51.173098421777773</v>
      </c>
      <c r="AA478" s="66" t="s">
        <v>88</v>
      </c>
      <c r="AB478" s="66" t="s">
        <v>175</v>
      </c>
      <c r="AC478" s="9">
        <v>25.928990686064374</v>
      </c>
      <c r="AD478" s="78" t="s">
        <v>88</v>
      </c>
      <c r="AE478" s="80" t="s">
        <v>79</v>
      </c>
      <c r="AF478" s="9">
        <v>25.702129839238093</v>
      </c>
      <c r="AG478" s="71" t="s">
        <v>144</v>
      </c>
      <c r="AH478" s="66" t="s">
        <v>175</v>
      </c>
      <c r="AI478" s="9">
        <v>24.29165013771728</v>
      </c>
      <c r="AJ478" s="71" t="s">
        <v>144</v>
      </c>
      <c r="AK478" s="80" t="s">
        <v>79</v>
      </c>
      <c r="AL478" s="9">
        <v>23.601461552412701</v>
      </c>
      <c r="AM478" s="66" t="s">
        <v>88</v>
      </c>
      <c r="AN478" s="70" t="s">
        <v>19</v>
      </c>
      <c r="AO478" s="9">
        <v>23.060838443264366</v>
      </c>
      <c r="AP478" s="60"/>
      <c r="AQ478" s="66" t="s">
        <v>88</v>
      </c>
      <c r="AR478" s="9">
        <v>16.312220753752001</v>
      </c>
      <c r="AS478" s="66" t="s">
        <v>88</v>
      </c>
      <c r="AT478" s="9">
        <v>5.4374069179173334</v>
      </c>
      <c r="AU478" s="80" t="s">
        <v>144</v>
      </c>
      <c r="AV478" s="9">
        <v>4.5</v>
      </c>
      <c r="AW478" s="71" t="s">
        <v>79</v>
      </c>
      <c r="AX478" s="9">
        <v>205.16294338336002</v>
      </c>
      <c r="AY478" s="80" t="s">
        <v>79</v>
      </c>
      <c r="AZ478" s="9">
        <v>3.1563529751286157</v>
      </c>
      <c r="BA478" s="80" t="s">
        <v>144</v>
      </c>
      <c r="BB478" s="80" t="s">
        <v>79</v>
      </c>
      <c r="BC478" s="9">
        <v>16.13835448523885</v>
      </c>
      <c r="BD478" s="80" t="s">
        <v>144</v>
      </c>
      <c r="BE478" s="78" t="s">
        <v>175</v>
      </c>
      <c r="BF478" s="9">
        <v>15.965803860370233</v>
      </c>
      <c r="BG478" s="78" t="s">
        <v>88</v>
      </c>
      <c r="BH478" s="71" t="s">
        <v>79</v>
      </c>
      <c r="BI478" s="9">
        <v>15.180116013792585</v>
      </c>
      <c r="BJ478" s="66" t="s">
        <v>88</v>
      </c>
      <c r="BK478" s="78" t="s">
        <v>175</v>
      </c>
      <c r="BL478" s="9">
        <v>15.05382575213642</v>
      </c>
      <c r="BM478" s="71" t="s">
        <v>144</v>
      </c>
      <c r="BN478" s="75" t="s">
        <v>19</v>
      </c>
      <c r="BO478" s="9">
        <v>13.513323321722606</v>
      </c>
    </row>
    <row r="479" spans="1:67" x14ac:dyDescent="0.45">
      <c r="A479" s="10">
        <v>446</v>
      </c>
      <c r="B479" s="10" t="s">
        <v>559</v>
      </c>
      <c r="C479" s="64" t="s">
        <v>1889</v>
      </c>
      <c r="D479" s="65"/>
      <c r="E479" s="58" t="s">
        <v>1903</v>
      </c>
      <c r="F479" s="77"/>
      <c r="G479" s="77" t="s">
        <v>1888</v>
      </c>
      <c r="H479" s="10"/>
      <c r="I479" s="62">
        <v>120.12560152</v>
      </c>
      <c r="J479" s="62">
        <v>104.31960132</v>
      </c>
      <c r="K479" s="62">
        <v>237.88030301000001</v>
      </c>
      <c r="L479" s="49">
        <v>1892.3339290052704</v>
      </c>
      <c r="M479" s="49">
        <v>2071.2855943586596</v>
      </c>
      <c r="N479" s="49">
        <v>2226.5566611724057</v>
      </c>
      <c r="O479" s="61">
        <v>22.471373633341095</v>
      </c>
      <c r="P479" s="60"/>
      <c r="Q479" s="15" t="s">
        <v>127</v>
      </c>
      <c r="R479" s="9">
        <v>4.6037680455999999</v>
      </c>
      <c r="S479" s="15" t="s">
        <v>127</v>
      </c>
      <c r="T479" s="9">
        <v>9.2075360911999997</v>
      </c>
      <c r="U479" s="68" t="s">
        <v>273</v>
      </c>
      <c r="V479" s="9">
        <v>12</v>
      </c>
      <c r="W479" s="63" t="s">
        <v>251</v>
      </c>
      <c r="X479" s="9">
        <v>79.081640988000004</v>
      </c>
      <c r="Y479" s="63" t="s">
        <v>251</v>
      </c>
      <c r="Z479" s="9">
        <v>25.510206770322583</v>
      </c>
      <c r="AA479" s="15" t="s">
        <v>127</v>
      </c>
      <c r="AB479" s="54" t="s">
        <v>251</v>
      </c>
      <c r="AC479" s="9">
        <v>13.065419992366413</v>
      </c>
      <c r="AD479" s="64" t="s">
        <v>127</v>
      </c>
      <c r="AE479" s="64" t="s">
        <v>1480</v>
      </c>
      <c r="AF479" s="9">
        <v>12.941936450955412</v>
      </c>
      <c r="AG479" s="68" t="s">
        <v>273</v>
      </c>
      <c r="AH479" s="54" t="s">
        <v>251</v>
      </c>
      <c r="AI479" s="9">
        <v>12.684053589137932</v>
      </c>
      <c r="AJ479" s="68" t="s">
        <v>273</v>
      </c>
      <c r="AK479" s="64" t="s">
        <v>1480</v>
      </c>
      <c r="AL479" s="9">
        <v>12.672117007220901</v>
      </c>
      <c r="AM479" s="15" t="s">
        <v>127</v>
      </c>
      <c r="AN479" s="71" t="s">
        <v>1504</v>
      </c>
      <c r="AO479" s="9">
        <v>11.18681424282353</v>
      </c>
      <c r="AP479" s="60"/>
      <c r="AQ479" s="15" t="s">
        <v>127</v>
      </c>
      <c r="AR479" s="9">
        <v>3.8109390755680002</v>
      </c>
      <c r="AS479" s="15" t="s">
        <v>127</v>
      </c>
      <c r="AT479" s="9">
        <v>3.8109390755680002</v>
      </c>
      <c r="AU479" s="77" t="s">
        <v>273</v>
      </c>
      <c r="AV479" s="9">
        <v>3</v>
      </c>
      <c r="AW479" s="54" t="s">
        <v>251</v>
      </c>
      <c r="AX479" s="9">
        <v>102.50613328440001</v>
      </c>
      <c r="AY479" s="64" t="s">
        <v>1480</v>
      </c>
      <c r="AZ479" s="9">
        <v>1.6348223288960002</v>
      </c>
      <c r="BA479" s="77" t="s">
        <v>273</v>
      </c>
      <c r="BB479" s="64" t="s">
        <v>1480</v>
      </c>
      <c r="BC479" s="9">
        <v>7.5958438834600006</v>
      </c>
      <c r="BD479" s="77" t="s">
        <v>273</v>
      </c>
      <c r="BE479" s="63" t="s">
        <v>251</v>
      </c>
      <c r="BF479" s="9">
        <v>7.1564370779000006</v>
      </c>
      <c r="BG479" s="64" t="s">
        <v>127</v>
      </c>
      <c r="BH479" s="15" t="s">
        <v>1480</v>
      </c>
      <c r="BI479" s="9">
        <v>6.6978494775027029</v>
      </c>
      <c r="BJ479" s="15" t="s">
        <v>127</v>
      </c>
      <c r="BK479" s="63" t="s">
        <v>251</v>
      </c>
      <c r="BL479" s="9">
        <v>6.3744506134597403</v>
      </c>
      <c r="BM479" s="68" t="s">
        <v>273</v>
      </c>
      <c r="BN479" s="80" t="s">
        <v>1504</v>
      </c>
      <c r="BO479" s="9">
        <v>6.2054427325333332</v>
      </c>
    </row>
    <row r="480" spans="1:67" x14ac:dyDescent="0.45">
      <c r="A480" s="10">
        <v>447</v>
      </c>
      <c r="B480" s="10" t="s">
        <v>556</v>
      </c>
      <c r="C480" s="58" t="s">
        <v>1903</v>
      </c>
      <c r="D480" s="65"/>
      <c r="E480" s="287" t="s">
        <v>2235</v>
      </c>
      <c r="F480" s="289" t="s">
        <v>2236</v>
      </c>
      <c r="G480" s="242"/>
      <c r="H480" s="10"/>
      <c r="I480" s="62">
        <v>112.22260142</v>
      </c>
      <c r="J480" s="62">
        <v>73.49790093</v>
      </c>
      <c r="K480" s="62">
        <v>106.69050135000001</v>
      </c>
      <c r="L480" s="49">
        <v>993.75809134314386</v>
      </c>
      <c r="M480" s="49">
        <v>918.30584617310944</v>
      </c>
      <c r="N480" s="49">
        <v>862.09015648490936</v>
      </c>
      <c r="O480" s="61">
        <v>7.3046513566547322</v>
      </c>
      <c r="P480" s="60"/>
      <c r="Q480" s="55" t="s">
        <v>45</v>
      </c>
      <c r="R480" s="9">
        <v>9.0800273022399995</v>
      </c>
      <c r="S480" s="55" t="s">
        <v>45</v>
      </c>
      <c r="T480" s="9">
        <v>10.088919224711111</v>
      </c>
      <c r="U480" s="15" t="s">
        <v>291</v>
      </c>
      <c r="V480" s="9">
        <v>12.5</v>
      </c>
      <c r="W480" s="58" t="s">
        <v>1513</v>
      </c>
      <c r="X480" s="9">
        <v>34.666780426000003</v>
      </c>
      <c r="Y480" s="58" t="s">
        <v>1513</v>
      </c>
      <c r="Z480" s="9">
        <v>23.111186950666667</v>
      </c>
      <c r="AA480" s="55" t="s">
        <v>45</v>
      </c>
      <c r="AB480" s="55" t="s">
        <v>1513</v>
      </c>
      <c r="AC480" s="9">
        <v>12.830449272280703</v>
      </c>
      <c r="AD480" s="58" t="s">
        <v>45</v>
      </c>
      <c r="AE480" s="58" t="s">
        <v>106</v>
      </c>
      <c r="AF480" s="9">
        <v>12.292873165133955</v>
      </c>
      <c r="AG480" s="55" t="s">
        <v>45</v>
      </c>
      <c r="AH480" s="55" t="s">
        <v>201</v>
      </c>
      <c r="AI480" s="9">
        <v>11.640154236011798</v>
      </c>
      <c r="AJ480" s="15" t="s">
        <v>291</v>
      </c>
      <c r="AK480" s="58" t="s">
        <v>1513</v>
      </c>
      <c r="AL480" s="9">
        <v>11.292963765454546</v>
      </c>
      <c r="AM480" s="15" t="s">
        <v>291</v>
      </c>
      <c r="AN480" s="55" t="s">
        <v>106</v>
      </c>
      <c r="AO480" s="9">
        <v>10.83510262425</v>
      </c>
      <c r="AP480" s="60"/>
      <c r="AQ480" s="55" t="s">
        <v>45</v>
      </c>
      <c r="AR480" s="9">
        <v>8.0026903286080007</v>
      </c>
      <c r="AS480" s="55" t="s">
        <v>45</v>
      </c>
      <c r="AT480" s="9">
        <v>4.0013451643040003</v>
      </c>
      <c r="AU480" s="58" t="s">
        <v>2519</v>
      </c>
      <c r="AV480" s="9">
        <v>3.5</v>
      </c>
      <c r="AW480" s="55" t="s">
        <v>1513</v>
      </c>
      <c r="AX480" s="9">
        <v>44.766814553800003</v>
      </c>
      <c r="AY480" s="58" t="s">
        <v>1513</v>
      </c>
      <c r="AZ480" s="9">
        <v>1.2790518443942858</v>
      </c>
      <c r="BA480" s="58" t="s">
        <v>45</v>
      </c>
      <c r="BB480" s="58" t="s">
        <v>1513</v>
      </c>
      <c r="BC480" s="9">
        <v>7.707296926985455</v>
      </c>
      <c r="BD480" s="58" t="s">
        <v>45</v>
      </c>
      <c r="BE480" s="58" t="s">
        <v>106</v>
      </c>
      <c r="BF480" s="9">
        <v>6.9115366623709091</v>
      </c>
      <c r="BG480" s="58" t="s">
        <v>45</v>
      </c>
      <c r="BH480" s="55" t="s">
        <v>201</v>
      </c>
      <c r="BI480" s="9">
        <v>6.5770318924781614</v>
      </c>
      <c r="BJ480" s="15" t="s">
        <v>291</v>
      </c>
      <c r="BK480" s="58" t="s">
        <v>1513</v>
      </c>
      <c r="BL480" s="9">
        <v>6.1820897531409091</v>
      </c>
      <c r="BM480" s="15" t="s">
        <v>291</v>
      </c>
      <c r="BN480" s="58" t="s">
        <v>106</v>
      </c>
      <c r="BO480" s="9">
        <v>5.3863294885263633</v>
      </c>
    </row>
    <row r="481" spans="1:67" x14ac:dyDescent="0.45">
      <c r="A481" s="10">
        <v>448</v>
      </c>
      <c r="B481" s="10" t="s">
        <v>156</v>
      </c>
      <c r="C481" s="58" t="s">
        <v>2183</v>
      </c>
      <c r="D481" s="65"/>
      <c r="E481" s="58" t="s">
        <v>2343</v>
      </c>
      <c r="F481" s="64" t="s">
        <v>2352</v>
      </c>
      <c r="G481" s="63" t="s">
        <v>2353</v>
      </c>
      <c r="H481" s="10"/>
      <c r="I481" s="62">
        <v>198.36530251000002</v>
      </c>
      <c r="J481" s="62">
        <v>125.65770159</v>
      </c>
      <c r="K481" s="62">
        <v>147.78610187000001</v>
      </c>
      <c r="L481" s="49">
        <v>2703.1930474853116</v>
      </c>
      <c r="M481" s="49">
        <v>2385.204443613854</v>
      </c>
      <c r="N481" s="49">
        <v>2157.965256188088</v>
      </c>
      <c r="O481" s="61">
        <v>16.497432444782177</v>
      </c>
      <c r="P481" s="60"/>
      <c r="Q481" s="55" t="s">
        <v>45</v>
      </c>
      <c r="R481" s="9">
        <v>15.282301780720001</v>
      </c>
      <c r="S481" s="55" t="s">
        <v>45</v>
      </c>
      <c r="T481" s="9">
        <v>16.980335311911112</v>
      </c>
      <c r="U481" s="53" t="s">
        <v>51</v>
      </c>
      <c r="V481" s="9">
        <v>11.111000000000001</v>
      </c>
      <c r="W481" s="58" t="s">
        <v>2437</v>
      </c>
      <c r="X481" s="9">
        <v>120.01918150600001</v>
      </c>
      <c r="Y481" s="58" t="s">
        <v>1773</v>
      </c>
      <c r="Z481" s="9">
        <v>60.065146308555562</v>
      </c>
      <c r="AA481" s="55" t="s">
        <v>45</v>
      </c>
      <c r="AB481" s="55" t="s">
        <v>1773</v>
      </c>
      <c r="AC481" s="9">
        <v>27.425137977764312</v>
      </c>
      <c r="AD481" s="59" t="s">
        <v>51</v>
      </c>
      <c r="AE481" s="58" t="s">
        <v>1773</v>
      </c>
      <c r="AF481" s="9">
        <v>26.456491275095239</v>
      </c>
      <c r="AG481" s="55" t="s">
        <v>45</v>
      </c>
      <c r="AH481" s="55" t="s">
        <v>216</v>
      </c>
      <c r="AI481" s="9">
        <v>22.763507475382859</v>
      </c>
      <c r="AJ481" s="55" t="s">
        <v>45</v>
      </c>
      <c r="AK481" s="77" t="s">
        <v>73</v>
      </c>
      <c r="AL481" s="9">
        <v>22.689511580811597</v>
      </c>
      <c r="AM481" s="55" t="s">
        <v>45</v>
      </c>
      <c r="AN481" s="53" t="s">
        <v>180</v>
      </c>
      <c r="AO481" s="9">
        <v>22.13118782328889</v>
      </c>
      <c r="AP481" s="60"/>
      <c r="AQ481" s="55" t="s">
        <v>45</v>
      </c>
      <c r="AR481" s="9">
        <v>13.377994876624001</v>
      </c>
      <c r="AS481" s="55" t="s">
        <v>45</v>
      </c>
      <c r="AT481" s="9">
        <v>6.6889974383120006</v>
      </c>
      <c r="AU481" s="58" t="s">
        <v>2458</v>
      </c>
      <c r="AV481" s="9">
        <v>3.5</v>
      </c>
      <c r="AW481" s="53" t="s">
        <v>180</v>
      </c>
      <c r="AX481" s="9">
        <v>171.19742955358004</v>
      </c>
      <c r="AY481" s="58" t="s">
        <v>216</v>
      </c>
      <c r="AZ481" s="9">
        <v>3.460554132395556</v>
      </c>
      <c r="BA481" s="58" t="s">
        <v>45</v>
      </c>
      <c r="BB481" s="58" t="s">
        <v>216</v>
      </c>
      <c r="BC481" s="9">
        <v>17.444168259305982</v>
      </c>
      <c r="BD481" s="59" t="s">
        <v>51</v>
      </c>
      <c r="BE481" s="58" t="s">
        <v>216</v>
      </c>
      <c r="BF481" s="9">
        <v>16.008576070006807</v>
      </c>
      <c r="BG481" s="58" t="s">
        <v>45</v>
      </c>
      <c r="BH481" s="55" t="s">
        <v>1773</v>
      </c>
      <c r="BI481" s="9">
        <v>15.605677520674531</v>
      </c>
      <c r="BJ481" s="55" t="s">
        <v>45</v>
      </c>
      <c r="BK481" s="59" t="s">
        <v>180</v>
      </c>
      <c r="BL481" s="9">
        <v>15.094537765369493</v>
      </c>
      <c r="BM481" s="53" t="s">
        <v>51</v>
      </c>
      <c r="BN481" s="58" t="s">
        <v>1773</v>
      </c>
      <c r="BO481" s="9">
        <v>14.150998635601198</v>
      </c>
    </row>
    <row r="482" spans="1:67" x14ac:dyDescent="0.45">
      <c r="A482" s="10">
        <v>449</v>
      </c>
      <c r="B482" s="10" t="s">
        <v>552</v>
      </c>
      <c r="C482" s="80" t="s">
        <v>1892</v>
      </c>
      <c r="D482" s="65"/>
      <c r="E482" s="288" t="s">
        <v>2214</v>
      </c>
      <c r="F482" s="63" t="s">
        <v>2215</v>
      </c>
      <c r="G482" s="290" t="s">
        <v>1992</v>
      </c>
      <c r="H482" s="10"/>
      <c r="I482" s="62">
        <v>109.85170139</v>
      </c>
      <c r="J482" s="62">
        <v>105.10990133000001</v>
      </c>
      <c r="K482" s="62">
        <v>145.41520184000001</v>
      </c>
      <c r="L482" s="49">
        <v>1358.1054972012196</v>
      </c>
      <c r="M482" s="49">
        <v>1412.6681413754147</v>
      </c>
      <c r="N482" s="49">
        <v>1457.8923804170581</v>
      </c>
      <c r="O482" s="61">
        <v>13.830821259396412</v>
      </c>
      <c r="P482" s="60"/>
      <c r="Q482" s="67" t="s">
        <v>66</v>
      </c>
      <c r="R482" s="9">
        <v>4.2955510417000005</v>
      </c>
      <c r="S482" s="67" t="s">
        <v>66</v>
      </c>
      <c r="T482" s="9">
        <v>8.5911020834000009</v>
      </c>
      <c r="U482" s="15" t="s">
        <v>127</v>
      </c>
      <c r="V482" s="9">
        <v>10</v>
      </c>
      <c r="W482" s="80" t="s">
        <v>2438</v>
      </c>
      <c r="X482" s="9">
        <v>66.911020833999999</v>
      </c>
      <c r="Y482" s="80" t="s">
        <v>153</v>
      </c>
      <c r="Z482" s="9">
        <v>18.586394676111109</v>
      </c>
      <c r="AA482" s="67" t="s">
        <v>66</v>
      </c>
      <c r="AB482" s="71" t="s">
        <v>153</v>
      </c>
      <c r="AC482" s="9">
        <v>12.244203944695432</v>
      </c>
      <c r="AD482" s="64" t="s">
        <v>127</v>
      </c>
      <c r="AE482" s="80" t="s">
        <v>153</v>
      </c>
      <c r="AF482" s="9">
        <v>12.136505369941862</v>
      </c>
      <c r="AG482" s="67" t="s">
        <v>66</v>
      </c>
      <c r="AH482" s="71" t="s">
        <v>1490</v>
      </c>
      <c r="AI482" s="9">
        <v>11.014192589520549</v>
      </c>
      <c r="AJ482" s="15" t="s">
        <v>127</v>
      </c>
      <c r="AK482" s="80" t="s">
        <v>1490</v>
      </c>
      <c r="AL482" s="9">
        <v>10.760200637268042</v>
      </c>
      <c r="AM482" s="67" t="s">
        <v>66</v>
      </c>
      <c r="AN482" s="15" t="s">
        <v>1480</v>
      </c>
      <c r="AO482" s="9">
        <v>10.592173191483518</v>
      </c>
      <c r="AP482" s="60"/>
      <c r="AQ482" s="67" t="s">
        <v>66</v>
      </c>
      <c r="AR482" s="9">
        <v>3.85614423614</v>
      </c>
      <c r="AS482" s="67" t="s">
        <v>66</v>
      </c>
      <c r="AT482" s="9">
        <v>3.85614423614</v>
      </c>
      <c r="AU482" s="76" t="s">
        <v>2481</v>
      </c>
      <c r="AV482" s="9">
        <v>2</v>
      </c>
      <c r="AW482" s="71" t="s">
        <v>1490</v>
      </c>
      <c r="AX482" s="9">
        <v>86.684327084200007</v>
      </c>
      <c r="AY482" s="80" t="s">
        <v>153</v>
      </c>
      <c r="AZ482" s="9">
        <v>1.4202889886505454</v>
      </c>
      <c r="BA482" s="76" t="s">
        <v>66</v>
      </c>
      <c r="BB482" s="80" t="s">
        <v>153</v>
      </c>
      <c r="BC482" s="9">
        <v>6.4617495041975435</v>
      </c>
      <c r="BD482" s="76" t="s">
        <v>66</v>
      </c>
      <c r="BE482" s="64" t="s">
        <v>1480</v>
      </c>
      <c r="BF482" s="9">
        <v>6.0175506851108107</v>
      </c>
      <c r="BG482" s="76" t="s">
        <v>66</v>
      </c>
      <c r="BH482" s="71" t="s">
        <v>1490</v>
      </c>
      <c r="BI482" s="9">
        <v>5.8763438178000005</v>
      </c>
      <c r="BJ482" s="15" t="s">
        <v>127</v>
      </c>
      <c r="BK482" s="80" t="s">
        <v>153</v>
      </c>
      <c r="BL482" s="9">
        <v>5.7727673419707894</v>
      </c>
      <c r="BM482" s="67" t="s">
        <v>66</v>
      </c>
      <c r="BN482" s="56" t="s">
        <v>1488</v>
      </c>
      <c r="BO482" s="9">
        <v>5.3763500392467742</v>
      </c>
    </row>
    <row r="483" spans="1:67" x14ac:dyDescent="0.45">
      <c r="A483" s="10">
        <v>450</v>
      </c>
      <c r="B483" s="10" t="s">
        <v>550</v>
      </c>
      <c r="C483" s="80" t="s">
        <v>1892</v>
      </c>
      <c r="D483" s="65"/>
      <c r="E483" s="288" t="s">
        <v>2214</v>
      </c>
      <c r="F483" s="63" t="s">
        <v>2215</v>
      </c>
      <c r="G483" s="290" t="s">
        <v>1992</v>
      </c>
      <c r="H483" s="10"/>
      <c r="I483" s="62">
        <v>170.70480216000001</v>
      </c>
      <c r="J483" s="62">
        <v>162.80180206</v>
      </c>
      <c r="K483" s="62">
        <v>200.73620254000002</v>
      </c>
      <c r="L483" s="49">
        <v>3085.9450926344339</v>
      </c>
      <c r="M483" s="49">
        <v>3145.4812468632431</v>
      </c>
      <c r="N483" s="49">
        <v>3193.9361133425296</v>
      </c>
      <c r="O483" s="61">
        <v>28.104716946858385</v>
      </c>
      <c r="P483" s="60"/>
      <c r="Q483" s="51" t="s">
        <v>2415</v>
      </c>
      <c r="R483" s="9">
        <v>11.2422881296</v>
      </c>
      <c r="S483" s="70" t="s">
        <v>1512</v>
      </c>
      <c r="T483" s="9">
        <v>12.491431255111111</v>
      </c>
      <c r="U483" s="51" t="s">
        <v>2416</v>
      </c>
      <c r="V483" s="9">
        <v>13.333</v>
      </c>
      <c r="W483" s="80" t="s">
        <v>79</v>
      </c>
      <c r="X483" s="9">
        <v>144.39203381440001</v>
      </c>
      <c r="Y483" s="80" t="s">
        <v>79</v>
      </c>
      <c r="Z483" s="9">
        <v>40.108898281777776</v>
      </c>
      <c r="AA483" s="70" t="s">
        <v>1512</v>
      </c>
      <c r="AB483" s="71" t="s">
        <v>79</v>
      </c>
      <c r="AC483" s="9">
        <v>18.989658790797385</v>
      </c>
      <c r="AD483" s="290" t="s">
        <v>196</v>
      </c>
      <c r="AE483" s="80" t="s">
        <v>153</v>
      </c>
      <c r="AF483" s="9">
        <v>18.851024721224491</v>
      </c>
      <c r="AG483" s="70" t="s">
        <v>1512</v>
      </c>
      <c r="AH483" s="71" t="s">
        <v>153</v>
      </c>
      <c r="AI483" s="9">
        <v>18.827878819078592</v>
      </c>
      <c r="AJ483" s="51" t="s">
        <v>196</v>
      </c>
      <c r="AK483" s="80" t="s">
        <v>79</v>
      </c>
      <c r="AL483" s="9">
        <v>18.590670893466669</v>
      </c>
      <c r="AM483" s="67" t="s">
        <v>66</v>
      </c>
      <c r="AN483" s="71" t="s">
        <v>79</v>
      </c>
      <c r="AO483" s="9">
        <v>18.473331393440994</v>
      </c>
      <c r="AP483" s="60"/>
      <c r="AQ483" s="51" t="s">
        <v>2415</v>
      </c>
      <c r="AR483" s="9">
        <v>9.8766497123200008</v>
      </c>
      <c r="AS483" s="67" t="s">
        <v>66</v>
      </c>
      <c r="AT483" s="9">
        <v>5.4383248561600004</v>
      </c>
      <c r="AU483" s="290" t="s">
        <v>2488</v>
      </c>
      <c r="AV483" s="9">
        <v>2.5</v>
      </c>
      <c r="AW483" s="71" t="s">
        <v>79</v>
      </c>
      <c r="AX483" s="9">
        <v>160.77969482176002</v>
      </c>
      <c r="AY483" s="80" t="s">
        <v>79</v>
      </c>
      <c r="AZ483" s="9">
        <v>2.4735337664886154</v>
      </c>
      <c r="BA483" s="290" t="s">
        <v>196</v>
      </c>
      <c r="BB483" s="80" t="s">
        <v>79</v>
      </c>
      <c r="BC483" s="9">
        <v>10.71022744747852</v>
      </c>
      <c r="BD483" s="291" t="s">
        <v>1510</v>
      </c>
      <c r="BE483" s="80" t="s">
        <v>79</v>
      </c>
      <c r="BF483" s="9">
        <v>10.71022744747852</v>
      </c>
      <c r="BG483" s="75" t="s">
        <v>1512</v>
      </c>
      <c r="BH483" s="71" t="s">
        <v>79</v>
      </c>
      <c r="BI483" s="9">
        <v>10.71022744747852</v>
      </c>
      <c r="BJ483" s="67" t="s">
        <v>66</v>
      </c>
      <c r="BK483" s="80" t="s">
        <v>79</v>
      </c>
      <c r="BL483" s="9">
        <v>10.075380676028658</v>
      </c>
      <c r="BM483" s="51" t="s">
        <v>196</v>
      </c>
      <c r="BN483" s="80" t="s">
        <v>153</v>
      </c>
      <c r="BO483" s="9">
        <v>9.9773007805147831</v>
      </c>
    </row>
    <row r="484" spans="1:67" x14ac:dyDescent="0.45">
      <c r="A484" s="10">
        <v>451</v>
      </c>
      <c r="B484" s="10" t="s">
        <v>547</v>
      </c>
      <c r="C484" s="63" t="s">
        <v>2109</v>
      </c>
      <c r="D484" s="65"/>
      <c r="E484" s="287" t="s">
        <v>2206</v>
      </c>
      <c r="F484" s="63" t="s">
        <v>2207</v>
      </c>
      <c r="G484" s="58" t="s">
        <v>2164</v>
      </c>
      <c r="H484" s="10"/>
      <c r="I484" s="62">
        <v>85.352401080000007</v>
      </c>
      <c r="J484" s="62">
        <v>131.18980166</v>
      </c>
      <c r="K484" s="62">
        <v>106.69050135000001</v>
      </c>
      <c r="L484" s="49">
        <v>1009.7844036254194</v>
      </c>
      <c r="M484" s="49">
        <v>1125.8859067183789</v>
      </c>
      <c r="N484" s="49">
        <v>1228.3071002221861</v>
      </c>
      <c r="O484" s="61">
        <v>12.373436969262414</v>
      </c>
      <c r="P484" s="60"/>
      <c r="Q484" s="69" t="s">
        <v>10</v>
      </c>
      <c r="R484" s="9">
        <v>6.1211440648000002</v>
      </c>
      <c r="S484" s="54" t="s">
        <v>92</v>
      </c>
      <c r="T484" s="9">
        <v>5.934286720666667</v>
      </c>
      <c r="U484" s="69" t="s">
        <v>10</v>
      </c>
      <c r="V484" s="9">
        <v>12.727</v>
      </c>
      <c r="W484" s="63" t="s">
        <v>124</v>
      </c>
      <c r="X484" s="9">
        <v>41.969152518400001</v>
      </c>
      <c r="Y484" s="63" t="s">
        <v>124</v>
      </c>
      <c r="Z484" s="9">
        <v>18.247457616695655</v>
      </c>
      <c r="AA484" s="69" t="s">
        <v>10</v>
      </c>
      <c r="AB484" s="54" t="s">
        <v>124</v>
      </c>
      <c r="AC484" s="9">
        <v>10.247997001119266</v>
      </c>
      <c r="AD484" s="63" t="s">
        <v>92</v>
      </c>
      <c r="AE484" s="63" t="s">
        <v>124</v>
      </c>
      <c r="AF484" s="9">
        <v>10.234548139887202</v>
      </c>
      <c r="AG484" s="54" t="s">
        <v>92</v>
      </c>
      <c r="AH484" s="54" t="s">
        <v>1511</v>
      </c>
      <c r="AI484" s="9">
        <v>8.8222219091060108</v>
      </c>
      <c r="AJ484" s="69" t="s">
        <v>10</v>
      </c>
      <c r="AK484" s="63" t="s">
        <v>1511</v>
      </c>
      <c r="AL484" s="9">
        <v>8.7541422506728317</v>
      </c>
      <c r="AM484" s="54" t="s">
        <v>92</v>
      </c>
      <c r="AN484" s="73" t="s">
        <v>306</v>
      </c>
      <c r="AO484" s="9">
        <v>8.2598329220220226</v>
      </c>
      <c r="AP484" s="60"/>
      <c r="AQ484" s="69" t="s">
        <v>10</v>
      </c>
      <c r="AR484" s="9">
        <v>4.9944923705440001</v>
      </c>
      <c r="AS484" s="69" t="s">
        <v>10</v>
      </c>
      <c r="AT484" s="9">
        <v>1.6648307901813333</v>
      </c>
      <c r="AU484" s="289" t="s">
        <v>10</v>
      </c>
      <c r="AV484" s="9">
        <v>3.6666666666666998</v>
      </c>
      <c r="AW484" s="54" t="s">
        <v>124</v>
      </c>
      <c r="AX484" s="9">
        <v>54.259898273920008</v>
      </c>
      <c r="AY484" s="63" t="s">
        <v>124</v>
      </c>
      <c r="AZ484" s="9">
        <v>1.0851979654784001</v>
      </c>
      <c r="BA484" s="289" t="s">
        <v>10</v>
      </c>
      <c r="BB484" s="63" t="s">
        <v>124</v>
      </c>
      <c r="BC484" s="9">
        <v>5.2582826058404972</v>
      </c>
      <c r="BD484" s="63" t="s">
        <v>92</v>
      </c>
      <c r="BE484" s="63" t="s">
        <v>124</v>
      </c>
      <c r="BF484" s="9">
        <v>4.4851103670483026</v>
      </c>
      <c r="BG484" s="289" t="s">
        <v>10</v>
      </c>
      <c r="BH484" s="73" t="s">
        <v>306</v>
      </c>
      <c r="BI484" s="9">
        <v>4.2322591968106904</v>
      </c>
      <c r="BJ484" s="69" t="s">
        <v>10</v>
      </c>
      <c r="BK484" s="63" t="s">
        <v>1511</v>
      </c>
      <c r="BL484" s="9">
        <v>4.1270402885827595</v>
      </c>
      <c r="BM484" s="54" t="s">
        <v>92</v>
      </c>
      <c r="BN484" s="288" t="s">
        <v>306</v>
      </c>
      <c r="BO484" s="9">
        <v>3.64922103408579</v>
      </c>
    </row>
    <row r="485" spans="1:67" x14ac:dyDescent="0.45">
      <c r="A485" s="10">
        <v>452</v>
      </c>
      <c r="B485" s="10" t="s">
        <v>93</v>
      </c>
      <c r="C485" s="63" t="s">
        <v>2127</v>
      </c>
      <c r="D485" s="65"/>
      <c r="E485" s="80" t="s">
        <v>1892</v>
      </c>
      <c r="F485" s="63" t="s">
        <v>2251</v>
      </c>
      <c r="G485" s="242"/>
      <c r="H485" s="10"/>
      <c r="I485" s="62">
        <v>154.10850195</v>
      </c>
      <c r="J485" s="62">
        <v>171.49510217000002</v>
      </c>
      <c r="K485" s="62">
        <v>147.78610187000001</v>
      </c>
      <c r="L485" s="49">
        <v>2453.4050587516458</v>
      </c>
      <c r="M485" s="49">
        <v>2480.130934851019</v>
      </c>
      <c r="N485" s="49">
        <v>2501.7211013052483</v>
      </c>
      <c r="O485" s="61">
        <v>21.63439914734175</v>
      </c>
      <c r="P485" s="60"/>
      <c r="Q485" s="74" t="s">
        <v>1510</v>
      </c>
      <c r="R485" s="9">
        <v>10.246510117</v>
      </c>
      <c r="S485" s="67" t="s">
        <v>66</v>
      </c>
      <c r="T485" s="9">
        <v>13.0958121404</v>
      </c>
      <c r="U485" s="74" t="s">
        <v>1510</v>
      </c>
      <c r="V485" s="9">
        <v>13.333</v>
      </c>
      <c r="W485" s="63" t="s">
        <v>124</v>
      </c>
      <c r="X485" s="9">
        <v>74.972080935999998</v>
      </c>
      <c r="Y485" s="63" t="s">
        <v>124</v>
      </c>
      <c r="Z485" s="9">
        <v>32.596556928695655</v>
      </c>
      <c r="AA485" s="67" t="s">
        <v>66</v>
      </c>
      <c r="AB485" s="54" t="s">
        <v>124</v>
      </c>
      <c r="AC485" s="9">
        <v>18.341626527894736</v>
      </c>
      <c r="AD485" s="63" t="s">
        <v>92</v>
      </c>
      <c r="AE485" s="63" t="s">
        <v>124</v>
      </c>
      <c r="AF485" s="9">
        <v>17.483022114468547</v>
      </c>
      <c r="AG485" s="69" t="s">
        <v>10</v>
      </c>
      <c r="AH485" s="54" t="s">
        <v>124</v>
      </c>
      <c r="AI485" s="9">
        <v>17.028444816272938</v>
      </c>
      <c r="AJ485" s="74" t="s">
        <v>1510</v>
      </c>
      <c r="AK485" s="63" t="s">
        <v>124</v>
      </c>
      <c r="AL485" s="9">
        <v>16.626174583223143</v>
      </c>
      <c r="AM485" s="67" t="s">
        <v>66</v>
      </c>
      <c r="AN485" s="67" t="s">
        <v>91</v>
      </c>
      <c r="AO485" s="9">
        <v>16.329156751674208</v>
      </c>
      <c r="AP485" s="60"/>
      <c r="AQ485" s="74" t="s">
        <v>1510</v>
      </c>
      <c r="AR485" s="9">
        <v>9.0136421014000003</v>
      </c>
      <c r="AS485" s="67" t="s">
        <v>66</v>
      </c>
      <c r="AT485" s="9">
        <v>5.8081852608400002</v>
      </c>
      <c r="AU485" s="289" t="s">
        <v>10</v>
      </c>
      <c r="AV485" s="9">
        <v>3.6666666666666998</v>
      </c>
      <c r="AW485" s="54" t="s">
        <v>124</v>
      </c>
      <c r="AX485" s="9">
        <v>97.163705216800011</v>
      </c>
      <c r="AY485" s="63" t="s">
        <v>124</v>
      </c>
      <c r="AZ485" s="9">
        <v>1.9432741043360002</v>
      </c>
      <c r="BA485" s="76" t="s">
        <v>66</v>
      </c>
      <c r="BB485" s="63" t="s">
        <v>124</v>
      </c>
      <c r="BC485" s="9">
        <v>9.3218591052999997</v>
      </c>
      <c r="BD485" s="76" t="s">
        <v>66</v>
      </c>
      <c r="BE485" s="76" t="s">
        <v>91</v>
      </c>
      <c r="BF485" s="9">
        <v>9.1841451248340427</v>
      </c>
      <c r="BG485" s="291" t="s">
        <v>1510</v>
      </c>
      <c r="BH485" s="54" t="s">
        <v>124</v>
      </c>
      <c r="BI485" s="9">
        <v>8.9190536300380963</v>
      </c>
      <c r="BJ485" s="69" t="s">
        <v>10</v>
      </c>
      <c r="BK485" s="63" t="s">
        <v>124</v>
      </c>
      <c r="BL485" s="9">
        <v>8.8156045725919263</v>
      </c>
      <c r="BM485" s="74" t="s">
        <v>1510</v>
      </c>
      <c r="BN485" s="76" t="s">
        <v>91</v>
      </c>
      <c r="BO485" s="9">
        <v>8.7508432093315793</v>
      </c>
    </row>
    <row r="486" spans="1:67" x14ac:dyDescent="0.45">
      <c r="A486" s="10">
        <v>453</v>
      </c>
      <c r="B486" s="10" t="s">
        <v>543</v>
      </c>
      <c r="C486" s="58" t="s">
        <v>2184</v>
      </c>
      <c r="D486" s="242" t="s">
        <v>1925</v>
      </c>
      <c r="E486" s="80" t="s">
        <v>2150</v>
      </c>
      <c r="F486" s="58" t="s">
        <v>2354</v>
      </c>
      <c r="G486" s="289" t="s">
        <v>1887</v>
      </c>
      <c r="H486" s="10"/>
      <c r="I486" s="62">
        <v>103.52930131000001</v>
      </c>
      <c r="J486" s="62">
        <v>71.917300910000009</v>
      </c>
      <c r="K486" s="62">
        <v>117.75470149</v>
      </c>
      <c r="L486" s="49">
        <v>952.72837705889265</v>
      </c>
      <c r="M486" s="49">
        <v>916.04458635174194</v>
      </c>
      <c r="N486" s="49">
        <v>887.71717356275587</v>
      </c>
      <c r="O486" s="61">
        <v>7.9004231888357168</v>
      </c>
      <c r="P486" s="60"/>
      <c r="Q486" s="54" t="s">
        <v>171</v>
      </c>
      <c r="R486" s="9">
        <v>7.2117580786</v>
      </c>
      <c r="S486" s="54" t="s">
        <v>171</v>
      </c>
      <c r="T486" s="9">
        <v>9.0146975982499988</v>
      </c>
      <c r="U486" s="54" t="s">
        <v>92</v>
      </c>
      <c r="V486" s="9">
        <v>11.667</v>
      </c>
      <c r="W486" s="63" t="s">
        <v>124</v>
      </c>
      <c r="X486" s="9">
        <v>50.6940646288</v>
      </c>
      <c r="Y486" s="63" t="s">
        <v>124</v>
      </c>
      <c r="Z486" s="9">
        <v>22.040897664695652</v>
      </c>
      <c r="AA486" s="54" t="s">
        <v>171</v>
      </c>
      <c r="AB486" s="54" t="s">
        <v>124</v>
      </c>
      <c r="AC486" s="9">
        <v>12.753054480064172</v>
      </c>
      <c r="AD486" s="63" t="s">
        <v>92</v>
      </c>
      <c r="AE486" s="63" t="s">
        <v>124</v>
      </c>
      <c r="AF486" s="9">
        <v>12.150811374546638</v>
      </c>
      <c r="AG486" s="54" t="s">
        <v>171</v>
      </c>
      <c r="AH486" s="55" t="s">
        <v>106</v>
      </c>
      <c r="AI486" s="9">
        <v>11.126439141394364</v>
      </c>
      <c r="AJ486" s="54" t="s">
        <v>171</v>
      </c>
      <c r="AK486" s="58" t="s">
        <v>201</v>
      </c>
      <c r="AL486" s="9">
        <v>10.541813898768973</v>
      </c>
      <c r="AM486" s="54" t="s">
        <v>92</v>
      </c>
      <c r="AN486" s="55" t="s">
        <v>106</v>
      </c>
      <c r="AO486" s="9">
        <v>10.185636565517093</v>
      </c>
      <c r="AP486" s="60"/>
      <c r="AQ486" s="54" t="s">
        <v>171</v>
      </c>
      <c r="AR486" s="9">
        <v>5.8451713013080004</v>
      </c>
      <c r="AS486" s="54" t="s">
        <v>171</v>
      </c>
      <c r="AT486" s="9">
        <v>2.9225856506540002</v>
      </c>
      <c r="AU486" s="63" t="s">
        <v>171</v>
      </c>
      <c r="AV486" s="9">
        <v>3.5</v>
      </c>
      <c r="AW486" s="54" t="s">
        <v>124</v>
      </c>
      <c r="AX486" s="9">
        <v>65.602284017440013</v>
      </c>
      <c r="AY486" s="63" t="s">
        <v>124</v>
      </c>
      <c r="AZ486" s="9">
        <v>1.3120456803488003</v>
      </c>
      <c r="BA486" s="63" t="s">
        <v>171</v>
      </c>
      <c r="BB486" s="63" t="s">
        <v>124</v>
      </c>
      <c r="BC486" s="9">
        <v>7.0231266653035522</v>
      </c>
      <c r="BD486" s="63" t="s">
        <v>171</v>
      </c>
      <c r="BE486" s="58" t="s">
        <v>106</v>
      </c>
      <c r="BF486" s="9">
        <v>5.6842725922963648</v>
      </c>
      <c r="BG486" s="63" t="s">
        <v>171</v>
      </c>
      <c r="BH486" s="55" t="s">
        <v>201</v>
      </c>
      <c r="BI486" s="9">
        <v>5.3668373116478163</v>
      </c>
      <c r="BJ486" s="54" t="s">
        <v>92</v>
      </c>
      <c r="BK486" s="63" t="s">
        <v>124</v>
      </c>
      <c r="BL486" s="9">
        <v>5.3277640248805662</v>
      </c>
      <c r="BM486" s="54" t="s">
        <v>92</v>
      </c>
      <c r="BN486" s="58" t="s">
        <v>106</v>
      </c>
      <c r="BO486" s="9">
        <v>4.2052282871738171</v>
      </c>
    </row>
    <row r="487" spans="1:67" x14ac:dyDescent="0.45">
      <c r="A487" s="10">
        <v>454</v>
      </c>
      <c r="B487" s="10" t="s">
        <v>100</v>
      </c>
      <c r="C487" s="58" t="s">
        <v>2184</v>
      </c>
      <c r="D487" s="242" t="s">
        <v>1925</v>
      </c>
      <c r="E487" s="80" t="s">
        <v>2150</v>
      </c>
      <c r="F487" s="58" t="s">
        <v>2354</v>
      </c>
      <c r="G487" s="289" t="s">
        <v>1887</v>
      </c>
      <c r="H487" s="10"/>
      <c r="I487" s="62">
        <v>178.60780226</v>
      </c>
      <c r="J487" s="62">
        <v>116.96440148000001</v>
      </c>
      <c r="K487" s="62">
        <v>165.96300210000001</v>
      </c>
      <c r="L487" s="49">
        <v>2488.4729202526501</v>
      </c>
      <c r="M487" s="49">
        <v>2290.7460219503237</v>
      </c>
      <c r="N487" s="49">
        <v>2143.9376874191212</v>
      </c>
      <c r="O487" s="61">
        <v>17.379034804269065</v>
      </c>
      <c r="P487" s="60"/>
      <c r="Q487" s="55" t="s">
        <v>45</v>
      </c>
      <c r="R487" s="9">
        <v>13.85976176272</v>
      </c>
      <c r="S487" s="55" t="s">
        <v>45</v>
      </c>
      <c r="T487" s="9">
        <v>15.39973529191111</v>
      </c>
      <c r="U487" s="55" t="s">
        <v>45</v>
      </c>
      <c r="V487" s="9">
        <v>8.89</v>
      </c>
      <c r="W487" s="58" t="s">
        <v>267</v>
      </c>
      <c r="X487" s="9">
        <v>97.448213220399992</v>
      </c>
      <c r="Y487" s="63" t="s">
        <v>124</v>
      </c>
      <c r="Z487" s="9">
        <v>37.709454384695654</v>
      </c>
      <c r="AA487" s="55" t="s">
        <v>45</v>
      </c>
      <c r="AB487" s="55" t="s">
        <v>267</v>
      </c>
      <c r="AC487" s="9">
        <v>22.110717626114109</v>
      </c>
      <c r="AD487" s="58" t="s">
        <v>45</v>
      </c>
      <c r="AE487" s="63" t="s">
        <v>124</v>
      </c>
      <c r="AF487" s="9">
        <v>21.874480265211357</v>
      </c>
      <c r="AG487" s="54" t="s">
        <v>171</v>
      </c>
      <c r="AH487" s="55" t="s">
        <v>267</v>
      </c>
      <c r="AI487" s="9">
        <v>21.527349733833617</v>
      </c>
      <c r="AJ487" s="54" t="s">
        <v>171</v>
      </c>
      <c r="AK487" s="63" t="s">
        <v>124</v>
      </c>
      <c r="AL487" s="9">
        <v>21.264627849796792</v>
      </c>
      <c r="AM487" s="55" t="s">
        <v>45</v>
      </c>
      <c r="AN487" s="71" t="s">
        <v>99</v>
      </c>
      <c r="AO487" s="9">
        <v>17.829116192754821</v>
      </c>
      <c r="AP487" s="60"/>
      <c r="AQ487" s="55" t="s">
        <v>45</v>
      </c>
      <c r="AR487" s="9">
        <v>12.145126861024</v>
      </c>
      <c r="AS487" s="55" t="s">
        <v>45</v>
      </c>
      <c r="AT487" s="9">
        <v>6.072563430512</v>
      </c>
      <c r="AU487" s="58" t="s">
        <v>2520</v>
      </c>
      <c r="AV487" s="9">
        <v>3.5</v>
      </c>
      <c r="AW487" s="55" t="s">
        <v>267</v>
      </c>
      <c r="AX487" s="9">
        <v>126.38267718652</v>
      </c>
      <c r="AY487" s="58" t="s">
        <v>267</v>
      </c>
      <c r="AZ487" s="9">
        <v>2.5276535437304002</v>
      </c>
      <c r="BA487" s="58" t="s">
        <v>45</v>
      </c>
      <c r="BB487" s="58" t="s">
        <v>267</v>
      </c>
      <c r="BC487" s="9">
        <v>13.943318536045233</v>
      </c>
      <c r="BD487" s="58" t="s">
        <v>45</v>
      </c>
      <c r="BE487" s="63" t="s">
        <v>124</v>
      </c>
      <c r="BF487" s="9">
        <v>13.031917974980187</v>
      </c>
      <c r="BG487" s="63" t="s">
        <v>171</v>
      </c>
      <c r="BH487" s="55" t="s">
        <v>267</v>
      </c>
      <c r="BI487" s="9">
        <v>12.641317734523739</v>
      </c>
      <c r="BJ487" s="54" t="s">
        <v>171</v>
      </c>
      <c r="BK487" s="63" t="s">
        <v>124</v>
      </c>
      <c r="BL487" s="9">
        <v>11.729917173458691</v>
      </c>
      <c r="BM487" s="55" t="s">
        <v>45</v>
      </c>
      <c r="BN487" s="80" t="s">
        <v>99</v>
      </c>
      <c r="BO487" s="9">
        <v>10.801966662030001</v>
      </c>
    </row>
    <row r="488" spans="1:67" x14ac:dyDescent="0.45">
      <c r="A488" s="10">
        <v>455</v>
      </c>
      <c r="B488" s="10" t="s">
        <v>538</v>
      </c>
      <c r="C488" s="79" t="s">
        <v>1983</v>
      </c>
      <c r="D488" s="65"/>
      <c r="E488" s="63" t="s">
        <v>2265</v>
      </c>
      <c r="F488" s="80" t="s">
        <v>2266</v>
      </c>
      <c r="G488" s="242"/>
      <c r="H488" s="10"/>
      <c r="I488" s="62">
        <v>159.64060202000002</v>
      </c>
      <c r="J488" s="62">
        <v>119.33530151000001</v>
      </c>
      <c r="K488" s="62">
        <v>153.31820194000002</v>
      </c>
      <c r="L488" s="49">
        <v>2159.358163752775</v>
      </c>
      <c r="M488" s="49">
        <v>2043.3244857761133</v>
      </c>
      <c r="N488" s="49">
        <v>1955.0031632199357</v>
      </c>
      <c r="O488" s="61">
        <v>16.345659634605486</v>
      </c>
      <c r="P488" s="60"/>
      <c r="Q488" s="72" t="s">
        <v>24</v>
      </c>
      <c r="R488" s="9">
        <v>7.7049052848400006</v>
      </c>
      <c r="S488" s="72" t="s">
        <v>24</v>
      </c>
      <c r="T488" s="9">
        <v>12.841508808066669</v>
      </c>
      <c r="U488" s="72" t="s">
        <v>24</v>
      </c>
      <c r="V488" s="9">
        <v>10</v>
      </c>
      <c r="W488" s="79" t="s">
        <v>2440</v>
      </c>
      <c r="X488" s="9">
        <v>87.205925090800008</v>
      </c>
      <c r="Y488" s="79" t="s">
        <v>1485</v>
      </c>
      <c r="Z488" s="9">
        <v>33.540740419538466</v>
      </c>
      <c r="AA488" s="72" t="s">
        <v>24</v>
      </c>
      <c r="AB488" s="72" t="s">
        <v>1485</v>
      </c>
      <c r="AC488" s="9">
        <v>19.922824885675439</v>
      </c>
      <c r="AD488" s="76" t="s">
        <v>66</v>
      </c>
      <c r="AE488" s="79" t="s">
        <v>1485</v>
      </c>
      <c r="AF488" s="9">
        <v>18.030638513932207</v>
      </c>
      <c r="AG488" s="72" t="s">
        <v>24</v>
      </c>
      <c r="AH488" s="72" t="s">
        <v>33</v>
      </c>
      <c r="AI488" s="9">
        <v>17.012749340576782</v>
      </c>
      <c r="AJ488" s="67" t="s">
        <v>66</v>
      </c>
      <c r="AK488" s="79" t="s">
        <v>33</v>
      </c>
      <c r="AL488" s="9">
        <v>15.721295650078819</v>
      </c>
      <c r="AM488" s="72" t="s">
        <v>24</v>
      </c>
      <c r="AN488" s="67" t="s">
        <v>91</v>
      </c>
      <c r="AO488" s="9">
        <v>15.257026540901361</v>
      </c>
      <c r="AP488" s="60"/>
      <c r="AQ488" s="72" t="s">
        <v>24</v>
      </c>
      <c r="AR488" s="9">
        <v>7.2259834787800008</v>
      </c>
      <c r="AS488" s="67" t="s">
        <v>66</v>
      </c>
      <c r="AT488" s="9">
        <v>5.1506556525200002</v>
      </c>
      <c r="AU488" s="79" t="s">
        <v>24</v>
      </c>
      <c r="AV488" s="9">
        <v>4</v>
      </c>
      <c r="AW488" s="72" t="s">
        <v>2439</v>
      </c>
      <c r="AX488" s="9">
        <v>113.06770261804002</v>
      </c>
      <c r="AY488" s="79" t="s">
        <v>1485</v>
      </c>
      <c r="AZ488" s="9">
        <v>2.2613540523608004</v>
      </c>
      <c r="BA488" s="79" t="s">
        <v>24</v>
      </c>
      <c r="BB488" s="79" t="s">
        <v>1485</v>
      </c>
      <c r="BC488" s="9">
        <v>11.720748100771482</v>
      </c>
      <c r="BD488" s="79" t="s">
        <v>24</v>
      </c>
      <c r="BE488" s="79" t="s">
        <v>33</v>
      </c>
      <c r="BF488" s="9">
        <v>10.453911169305627</v>
      </c>
      <c r="BG488" s="79" t="s">
        <v>24</v>
      </c>
      <c r="BH488" s="67" t="s">
        <v>91</v>
      </c>
      <c r="BI488" s="9">
        <v>9.3291943663051029</v>
      </c>
      <c r="BJ488" s="67" t="s">
        <v>66</v>
      </c>
      <c r="BK488" s="79" t="s">
        <v>1485</v>
      </c>
      <c r="BL488" s="9">
        <v>9.3013113050400005</v>
      </c>
      <c r="BM488" s="67" t="s">
        <v>66</v>
      </c>
      <c r="BN488" s="79" t="s">
        <v>33</v>
      </c>
      <c r="BO488" s="9">
        <v>8.6318507159238713</v>
      </c>
    </row>
    <row r="489" spans="1:67" x14ac:dyDescent="0.45">
      <c r="A489" s="10">
        <v>456</v>
      </c>
      <c r="B489" s="10" t="s">
        <v>536</v>
      </c>
      <c r="C489" s="288" t="s">
        <v>1993</v>
      </c>
      <c r="D489" s="65"/>
      <c r="E489" s="290" t="s">
        <v>2201</v>
      </c>
      <c r="F489" s="59" t="s">
        <v>2202</v>
      </c>
      <c r="G489" s="242"/>
      <c r="H489" s="10"/>
      <c r="I489" s="62">
        <v>87.723301110000008</v>
      </c>
      <c r="J489" s="62">
        <v>103.52930131000001</v>
      </c>
      <c r="K489" s="62">
        <v>118.54500150000001</v>
      </c>
      <c r="L489" s="49">
        <v>971.82536699287175</v>
      </c>
      <c r="M489" s="49">
        <v>1050.4474485376863</v>
      </c>
      <c r="N489" s="49">
        <v>1117.9006538117924</v>
      </c>
      <c r="O489" s="61">
        <v>11.121481925780097</v>
      </c>
      <c r="P489" s="60"/>
      <c r="Q489" s="15" t="s">
        <v>288</v>
      </c>
      <c r="R489" s="9">
        <v>4.0703155388500001</v>
      </c>
      <c r="S489" s="73" t="s">
        <v>121</v>
      </c>
      <c r="T489" s="9">
        <v>7.2633980666000006</v>
      </c>
      <c r="U489" s="15" t="s">
        <v>2441</v>
      </c>
      <c r="V489" s="9">
        <v>10</v>
      </c>
      <c r="W489" s="291" t="s">
        <v>189</v>
      </c>
      <c r="X489" s="9">
        <v>40.475485499500003</v>
      </c>
      <c r="Y489" s="291" t="s">
        <v>189</v>
      </c>
      <c r="Z489" s="9">
        <v>12.265298636212123</v>
      </c>
      <c r="AA489" s="73" t="s">
        <v>121</v>
      </c>
      <c r="AB489" s="74" t="s">
        <v>189</v>
      </c>
      <c r="AC489" s="9">
        <v>9.2521055219879518</v>
      </c>
      <c r="AD489" s="288" t="s">
        <v>121</v>
      </c>
      <c r="AE489" s="288" t="s">
        <v>238</v>
      </c>
      <c r="AF489" s="9">
        <v>9.0439971706341478</v>
      </c>
      <c r="AG489" s="15" t="s">
        <v>288</v>
      </c>
      <c r="AH489" s="74" t="s">
        <v>189</v>
      </c>
      <c r="AI489" s="9">
        <v>8.9632267056124491</v>
      </c>
      <c r="AJ489" s="15" t="s">
        <v>288</v>
      </c>
      <c r="AK489" s="288" t="s">
        <v>238</v>
      </c>
      <c r="AL489" s="9">
        <v>8.7515954418638202</v>
      </c>
      <c r="AM489" s="73" t="s">
        <v>121</v>
      </c>
      <c r="AN489" s="69" t="s">
        <v>1509</v>
      </c>
      <c r="AO489" s="9">
        <v>7.9499263901184847</v>
      </c>
      <c r="AP489" s="60"/>
      <c r="AQ489" s="15" t="s">
        <v>288</v>
      </c>
      <c r="AR489" s="9">
        <v>3.8510072860750002</v>
      </c>
      <c r="AS489" s="73" t="s">
        <v>121</v>
      </c>
      <c r="AT489" s="9">
        <v>3.0527252459740004</v>
      </c>
      <c r="AU489" s="288" t="s">
        <v>121</v>
      </c>
      <c r="AV489" s="9">
        <v>3</v>
      </c>
      <c r="AW489" s="74" t="s">
        <v>189</v>
      </c>
      <c r="AX489" s="9">
        <v>52.318131149350009</v>
      </c>
      <c r="AY489" s="291" t="s">
        <v>189</v>
      </c>
      <c r="AZ489" s="9">
        <v>0.9512387481700002</v>
      </c>
      <c r="BA489" s="288" t="s">
        <v>121</v>
      </c>
      <c r="BB489" s="291" t="s">
        <v>189</v>
      </c>
      <c r="BC489" s="9">
        <v>5.6009358961486218</v>
      </c>
      <c r="BD489" s="288" t="s">
        <v>121</v>
      </c>
      <c r="BE489" s="289" t="s">
        <v>1509</v>
      </c>
      <c r="BF489" s="9">
        <v>5.4190612934162505</v>
      </c>
      <c r="BG489" s="288" t="s">
        <v>121</v>
      </c>
      <c r="BH489" s="73" t="s">
        <v>238</v>
      </c>
      <c r="BI489" s="9">
        <v>5.2357822535971437</v>
      </c>
      <c r="BJ489" s="15" t="s">
        <v>288</v>
      </c>
      <c r="BK489" s="291" t="s">
        <v>189</v>
      </c>
      <c r="BL489" s="9">
        <v>3.6936660116800439</v>
      </c>
      <c r="BM489" s="15" t="s">
        <v>288</v>
      </c>
      <c r="BN489" s="289" t="s">
        <v>1509</v>
      </c>
      <c r="BO489" s="9">
        <v>3.5845929350380321</v>
      </c>
    </row>
    <row r="490" spans="1:67" x14ac:dyDescent="0.45">
      <c r="A490" s="10">
        <v>457</v>
      </c>
      <c r="B490" s="10" t="s">
        <v>533</v>
      </c>
      <c r="C490" s="288" t="s">
        <v>1993</v>
      </c>
      <c r="D490" s="65"/>
      <c r="E490" s="290" t="s">
        <v>2201</v>
      </c>
      <c r="F490" s="59" t="s">
        <v>2202</v>
      </c>
      <c r="G490" s="242"/>
      <c r="H490" s="10"/>
      <c r="I490" s="62">
        <v>124.07710157000001</v>
      </c>
      <c r="J490" s="62">
        <v>146.20550185000002</v>
      </c>
      <c r="K490" s="62">
        <v>146.20550185000002</v>
      </c>
      <c r="L490" s="49">
        <v>1814.0754903135276</v>
      </c>
      <c r="M490" s="49">
        <v>1916.0759260243663</v>
      </c>
      <c r="N490" s="49">
        <v>2001.7903958873096</v>
      </c>
      <c r="O490" s="61">
        <v>18.649403389452385</v>
      </c>
      <c r="P490" s="60"/>
      <c r="Q490" s="73" t="s">
        <v>206</v>
      </c>
      <c r="R490" s="9">
        <v>12.911401750720001</v>
      </c>
      <c r="S490" s="73" t="s">
        <v>206</v>
      </c>
      <c r="T490" s="9">
        <v>10.759501458933334</v>
      </c>
      <c r="U490" s="73" t="s">
        <v>121</v>
      </c>
      <c r="V490" s="9">
        <v>10</v>
      </c>
      <c r="W490" s="291" t="s">
        <v>132</v>
      </c>
      <c r="X490" s="9">
        <v>81.650116020500008</v>
      </c>
      <c r="Y490" s="291" t="s">
        <v>132</v>
      </c>
      <c r="Z490" s="9">
        <v>26.338747103387099</v>
      </c>
      <c r="AA490" s="73" t="s">
        <v>121</v>
      </c>
      <c r="AB490" s="74" t="s">
        <v>132</v>
      </c>
      <c r="AC490" s="9">
        <v>13.442471523854964</v>
      </c>
      <c r="AD490" s="288" t="s">
        <v>206</v>
      </c>
      <c r="AE490" s="291" t="s">
        <v>132</v>
      </c>
      <c r="AF490" s="9">
        <v>13.34215715400321</v>
      </c>
      <c r="AG490" s="73" t="s">
        <v>206</v>
      </c>
      <c r="AH490" s="73" t="s">
        <v>238</v>
      </c>
      <c r="AI490" s="9">
        <v>12.505480710411216</v>
      </c>
      <c r="AJ490" s="73" t="s">
        <v>121</v>
      </c>
      <c r="AK490" s="288" t="s">
        <v>238</v>
      </c>
      <c r="AL490" s="9">
        <v>12.236038186634147</v>
      </c>
      <c r="AM490" s="73" t="s">
        <v>206</v>
      </c>
      <c r="AN490" s="69" t="s">
        <v>1509</v>
      </c>
      <c r="AO490" s="9">
        <v>11.290171591283524</v>
      </c>
      <c r="AP490" s="60"/>
      <c r="AQ490" s="73" t="s">
        <v>206</v>
      </c>
      <c r="AR490" s="9">
        <v>12.613616706952001</v>
      </c>
      <c r="AS490" s="73" t="s">
        <v>206</v>
      </c>
      <c r="AT490" s="9">
        <v>4.2045389023173341</v>
      </c>
      <c r="AU490" s="288" t="s">
        <v>121</v>
      </c>
      <c r="AV490" s="9">
        <v>3</v>
      </c>
      <c r="AW490" s="74" t="s">
        <v>132</v>
      </c>
      <c r="AX490" s="9">
        <v>105.84515082665001</v>
      </c>
      <c r="AY490" s="291" t="s">
        <v>132</v>
      </c>
      <c r="AZ490" s="9">
        <v>1.4112686776886669</v>
      </c>
      <c r="BA490" s="288" t="s">
        <v>121</v>
      </c>
      <c r="BB490" s="291" t="s">
        <v>132</v>
      </c>
      <c r="BC490" s="9">
        <v>7.8242405863500011</v>
      </c>
      <c r="BD490" s="288" t="s">
        <v>206</v>
      </c>
      <c r="BE490" s="291" t="s">
        <v>132</v>
      </c>
      <c r="BF490" s="9">
        <v>7.6943453203201724</v>
      </c>
      <c r="BG490" s="288" t="s">
        <v>121</v>
      </c>
      <c r="BH490" s="69" t="s">
        <v>1509</v>
      </c>
      <c r="BI490" s="9">
        <v>7.2503839915887509</v>
      </c>
      <c r="BJ490" s="73" t="s">
        <v>206</v>
      </c>
      <c r="BK490" s="289" t="s">
        <v>1509</v>
      </c>
      <c r="BL490" s="9">
        <v>7.1835902204730075</v>
      </c>
      <c r="BM490" s="73" t="s">
        <v>121</v>
      </c>
      <c r="BN490" s="288" t="s">
        <v>238</v>
      </c>
      <c r="BO490" s="9">
        <v>6.9911514758085715</v>
      </c>
    </row>
    <row r="491" spans="1:67" x14ac:dyDescent="0.45">
      <c r="A491" s="10">
        <v>458</v>
      </c>
      <c r="B491" s="10" t="s">
        <v>530</v>
      </c>
      <c r="C491" s="287" t="s">
        <v>2135</v>
      </c>
      <c r="D491" s="290" t="s">
        <v>1992</v>
      </c>
      <c r="E491" s="56" t="s">
        <v>2025</v>
      </c>
      <c r="F491" s="58" t="s">
        <v>2270</v>
      </c>
      <c r="G491" s="80" t="s">
        <v>1892</v>
      </c>
      <c r="H491" s="10"/>
      <c r="I491" s="62">
        <v>94.836001200000013</v>
      </c>
      <c r="J491" s="62">
        <v>153.31820194000002</v>
      </c>
      <c r="K491" s="62">
        <v>113.01290143000001</v>
      </c>
      <c r="L491" s="49">
        <v>1248.3435009634043</v>
      </c>
      <c r="M491" s="49">
        <v>1392.5046384797183</v>
      </c>
      <c r="N491" s="49">
        <v>1519.7308766698393</v>
      </c>
      <c r="O491" s="61">
        <v>15.023551014910169</v>
      </c>
      <c r="P491" s="60"/>
      <c r="Q491" s="73" t="s">
        <v>214</v>
      </c>
      <c r="R491" s="9">
        <v>7.8281920864000005</v>
      </c>
      <c r="S491" s="15" t="s">
        <v>127</v>
      </c>
      <c r="T491" s="9">
        <v>6.741800060000001</v>
      </c>
      <c r="U491" s="73" t="s">
        <v>214</v>
      </c>
      <c r="V491" s="9">
        <v>11.667</v>
      </c>
      <c r="W491" s="291" t="s">
        <v>189</v>
      </c>
      <c r="X491" s="9">
        <v>43.676200540000004</v>
      </c>
      <c r="Y491" s="287" t="s">
        <v>203</v>
      </c>
      <c r="Z491" s="9">
        <v>13.456616831666668</v>
      </c>
      <c r="AA491" s="73" t="s">
        <v>214</v>
      </c>
      <c r="AB491" s="16" t="s">
        <v>203</v>
      </c>
      <c r="AC491" s="9">
        <v>9.6886149695289863</v>
      </c>
      <c r="AD491" s="64" t="s">
        <v>127</v>
      </c>
      <c r="AE491" s="287" t="s">
        <v>203</v>
      </c>
      <c r="AF491" s="9">
        <v>9.5526535923255818</v>
      </c>
      <c r="AG491" s="73" t="s">
        <v>214</v>
      </c>
      <c r="AH491" s="74" t="s">
        <v>189</v>
      </c>
      <c r="AI491" s="9">
        <v>9.4432807145009434</v>
      </c>
      <c r="AJ491" s="15" t="s">
        <v>127</v>
      </c>
      <c r="AK491" s="291" t="s">
        <v>189</v>
      </c>
      <c r="AL491" s="9">
        <v>9.3235181734939765</v>
      </c>
      <c r="AM491" s="73" t="s">
        <v>214</v>
      </c>
      <c r="AN491" s="73" t="s">
        <v>238</v>
      </c>
      <c r="AO491" s="9">
        <v>9.1893634673282456</v>
      </c>
      <c r="AP491" s="60"/>
      <c r="AQ491" s="73" t="s">
        <v>214</v>
      </c>
      <c r="AR491" s="9">
        <v>6.9177664748800014</v>
      </c>
      <c r="AS491" s="15" t="s">
        <v>127</v>
      </c>
      <c r="AT491" s="9">
        <v>2.8493020234000004</v>
      </c>
      <c r="AU491" s="288" t="s">
        <v>214</v>
      </c>
      <c r="AV491" s="9">
        <v>3.6666666666666998</v>
      </c>
      <c r="AW491" s="74" t="s">
        <v>189</v>
      </c>
      <c r="AX491" s="9">
        <v>56.479060702000012</v>
      </c>
      <c r="AY491" s="291" t="s">
        <v>189</v>
      </c>
      <c r="AZ491" s="9">
        <v>1.0268920127636365</v>
      </c>
      <c r="BA491" s="288" t="s">
        <v>214</v>
      </c>
      <c r="BB491" s="291" t="s">
        <v>189</v>
      </c>
      <c r="BC491" s="9">
        <v>5.6917433172750016</v>
      </c>
      <c r="BD491" s="288" t="s">
        <v>214</v>
      </c>
      <c r="BE491" s="287" t="s">
        <v>203</v>
      </c>
      <c r="BF491" s="9">
        <v>5.2728121988520558</v>
      </c>
      <c r="BG491" s="288" t="s">
        <v>214</v>
      </c>
      <c r="BH491" s="73" t="s">
        <v>238</v>
      </c>
      <c r="BI491" s="9">
        <v>5.2128325219895295</v>
      </c>
      <c r="BJ491" s="15" t="s">
        <v>127</v>
      </c>
      <c r="BK491" s="291" t="s">
        <v>189</v>
      </c>
      <c r="BL491" s="9">
        <v>4.7310479419473692</v>
      </c>
      <c r="BM491" s="15" t="s">
        <v>127</v>
      </c>
      <c r="BN491" s="287" t="s">
        <v>203</v>
      </c>
      <c r="BO491" s="9">
        <v>4.50186978899149</v>
      </c>
    </row>
    <row r="492" spans="1:67" x14ac:dyDescent="0.45">
      <c r="A492" s="10">
        <v>459</v>
      </c>
      <c r="B492" s="10" t="s">
        <v>527</v>
      </c>
      <c r="C492" s="79" t="s">
        <v>2185</v>
      </c>
      <c r="D492" s="75" t="s">
        <v>1976</v>
      </c>
      <c r="E492" s="58" t="s">
        <v>2355</v>
      </c>
      <c r="F492" s="80" t="s">
        <v>2266</v>
      </c>
      <c r="G492" s="242"/>
      <c r="H492" s="10"/>
      <c r="I492" s="62">
        <v>102.73900130000001</v>
      </c>
      <c r="J492" s="62">
        <v>94.836001200000013</v>
      </c>
      <c r="K492" s="62">
        <v>134.35100170000001</v>
      </c>
      <c r="L492" s="49">
        <v>1159.6913314830222</v>
      </c>
      <c r="M492" s="49">
        <v>1196.6477301426089</v>
      </c>
      <c r="N492" s="49">
        <v>1227.0590128890426</v>
      </c>
      <c r="O492" s="61">
        <v>11.637644126131432</v>
      </c>
      <c r="P492" s="60"/>
      <c r="Q492" s="74" t="s">
        <v>241</v>
      </c>
      <c r="R492" s="9">
        <v>8.3972080935999998</v>
      </c>
      <c r="S492" s="74" t="s">
        <v>241</v>
      </c>
      <c r="T492" s="9">
        <v>6.9976734113333334</v>
      </c>
      <c r="U492" s="74" t="s">
        <v>59</v>
      </c>
      <c r="V492" s="9">
        <v>15</v>
      </c>
      <c r="W492" s="79" t="s">
        <v>2442</v>
      </c>
      <c r="X492" s="9">
        <v>56.479060702000005</v>
      </c>
      <c r="Y492" s="64" t="s">
        <v>52</v>
      </c>
      <c r="Z492" s="9">
        <v>27.113321753571434</v>
      </c>
      <c r="AA492" s="74" t="s">
        <v>241</v>
      </c>
      <c r="AB492" s="74" t="s">
        <v>189</v>
      </c>
      <c r="AC492" s="9">
        <v>11.020172019116465</v>
      </c>
      <c r="AD492" s="291" t="s">
        <v>59</v>
      </c>
      <c r="AE492" s="291" t="s">
        <v>189</v>
      </c>
      <c r="AF492" s="9">
        <v>10.875538822814073</v>
      </c>
      <c r="AG492" s="74" t="s">
        <v>241</v>
      </c>
      <c r="AH492" s="15" t="s">
        <v>52</v>
      </c>
      <c r="AI492" s="9">
        <v>10.488818991391186</v>
      </c>
      <c r="AJ492" s="74" t="s">
        <v>241</v>
      </c>
      <c r="AK492" s="79" t="s">
        <v>33</v>
      </c>
      <c r="AL492" s="9">
        <v>10.277239074007491</v>
      </c>
      <c r="AM492" s="74" t="s">
        <v>59</v>
      </c>
      <c r="AN492" s="15" t="s">
        <v>52</v>
      </c>
      <c r="AO492" s="9">
        <v>10.067909048802282</v>
      </c>
      <c r="AP492" s="60"/>
      <c r="AQ492" s="74" t="s">
        <v>241</v>
      </c>
      <c r="AR492" s="9">
        <v>8.2122778912600012</v>
      </c>
      <c r="AS492" s="74" t="s">
        <v>241</v>
      </c>
      <c r="AT492" s="9">
        <v>2.7374259637533336</v>
      </c>
      <c r="AU492" s="291" t="s">
        <v>59</v>
      </c>
      <c r="AV492" s="9">
        <v>4</v>
      </c>
      <c r="AW492" s="15" t="s">
        <v>52</v>
      </c>
      <c r="AX492" s="9">
        <v>87.814456098500017</v>
      </c>
      <c r="AY492" s="291" t="s">
        <v>189</v>
      </c>
      <c r="AZ492" s="9">
        <v>1.3295050711381819</v>
      </c>
      <c r="BA492" s="291" t="s">
        <v>59</v>
      </c>
      <c r="BB492" s="291" t="s">
        <v>189</v>
      </c>
      <c r="BC492" s="9">
        <v>6.9176470977254247</v>
      </c>
      <c r="BD492" s="291" t="s">
        <v>241</v>
      </c>
      <c r="BE492" s="291" t="s">
        <v>189</v>
      </c>
      <c r="BF492" s="9">
        <v>6.7594461322588586</v>
      </c>
      <c r="BG492" s="291" t="s">
        <v>59</v>
      </c>
      <c r="BH492" s="15" t="s">
        <v>52</v>
      </c>
      <c r="BI492" s="9">
        <v>6.7357947812648655</v>
      </c>
      <c r="BJ492" s="74" t="s">
        <v>241</v>
      </c>
      <c r="BK492" s="64" t="s">
        <v>52</v>
      </c>
      <c r="BL492" s="9">
        <v>6.6045636971509092</v>
      </c>
      <c r="BM492" s="74" t="s">
        <v>59</v>
      </c>
      <c r="BN492" s="79" t="s">
        <v>33</v>
      </c>
      <c r="BO492" s="9">
        <v>6.5414815760500007</v>
      </c>
    </row>
    <row r="493" spans="1:67" x14ac:dyDescent="0.45">
      <c r="A493" s="10">
        <v>460</v>
      </c>
      <c r="B493" s="10" t="s">
        <v>258</v>
      </c>
      <c r="C493" s="79" t="s">
        <v>2185</v>
      </c>
      <c r="D493" s="75" t="s">
        <v>1976</v>
      </c>
      <c r="E493" s="58" t="s">
        <v>2355</v>
      </c>
      <c r="F493" s="80" t="s">
        <v>2266</v>
      </c>
      <c r="G493" s="242"/>
      <c r="H493" s="10"/>
      <c r="I493" s="62">
        <v>152.52790193000001</v>
      </c>
      <c r="J493" s="62">
        <v>136.72190173000001</v>
      </c>
      <c r="K493" s="62">
        <v>175.44660222000002</v>
      </c>
      <c r="L493" s="49">
        <v>2362.3314002796424</v>
      </c>
      <c r="M493" s="49">
        <v>2374.4055528906088</v>
      </c>
      <c r="N493" s="49">
        <v>2384.1092927968093</v>
      </c>
      <c r="O493" s="61">
        <v>21.102252953055931</v>
      </c>
      <c r="P493" s="60"/>
      <c r="Q493" s="72" t="s">
        <v>64</v>
      </c>
      <c r="R493" s="9">
        <v>12.897176350540001</v>
      </c>
      <c r="S493" s="72" t="s">
        <v>64</v>
      </c>
      <c r="T493" s="9">
        <v>12.897176350540001</v>
      </c>
      <c r="U493" s="74" t="s">
        <v>59</v>
      </c>
      <c r="V493" s="9">
        <v>15</v>
      </c>
      <c r="W493" s="291" t="s">
        <v>132</v>
      </c>
      <c r="X493" s="9">
        <v>119.97176350540001</v>
      </c>
      <c r="Y493" s="64" t="s">
        <v>52</v>
      </c>
      <c r="Z493" s="9">
        <v>39.560546911071434</v>
      </c>
      <c r="AA493" s="72" t="s">
        <v>64</v>
      </c>
      <c r="AB493" s="74" t="s">
        <v>132</v>
      </c>
      <c r="AC493" s="9">
        <v>17.316541920635359</v>
      </c>
      <c r="AD493" s="291" t="s">
        <v>59</v>
      </c>
      <c r="AE493" s="291" t="s">
        <v>132</v>
      </c>
      <c r="AF493" s="9">
        <v>16.377108395223765</v>
      </c>
      <c r="AG493" s="72" t="s">
        <v>64</v>
      </c>
      <c r="AH493" s="15" t="s">
        <v>52</v>
      </c>
      <c r="AI493" s="9">
        <v>16.314365079744988</v>
      </c>
      <c r="AJ493" s="72" t="s">
        <v>64</v>
      </c>
      <c r="AK493" s="78" t="s">
        <v>175</v>
      </c>
      <c r="AL493" s="9">
        <v>16.029640879139716</v>
      </c>
      <c r="AM493" s="72" t="s">
        <v>64</v>
      </c>
      <c r="AN493" s="72" t="s">
        <v>33</v>
      </c>
      <c r="AO493" s="9">
        <v>15.891517293950843</v>
      </c>
      <c r="AP493" s="60"/>
      <c r="AQ493" s="72" t="s">
        <v>64</v>
      </c>
      <c r="AR493" s="9">
        <v>14.086893985594001</v>
      </c>
      <c r="AS493" s="72" t="s">
        <v>64</v>
      </c>
      <c r="AT493" s="9">
        <v>7.0434469927970005</v>
      </c>
      <c r="AU493" s="291" t="s">
        <v>59</v>
      </c>
      <c r="AV493" s="9">
        <v>4</v>
      </c>
      <c r="AW493" s="74" t="s">
        <v>132</v>
      </c>
      <c r="AX493" s="9">
        <v>155.66329255702001</v>
      </c>
      <c r="AY493" s="291" t="s">
        <v>132</v>
      </c>
      <c r="AZ493" s="9">
        <v>2.0755105674269334</v>
      </c>
      <c r="BA493" s="79" t="s">
        <v>64</v>
      </c>
      <c r="BB493" s="291" t="s">
        <v>132</v>
      </c>
      <c r="BC493" s="9">
        <v>10.903702721737858</v>
      </c>
      <c r="BD493" s="291" t="s">
        <v>59</v>
      </c>
      <c r="BE493" s="291" t="s">
        <v>132</v>
      </c>
      <c r="BF493" s="9">
        <v>10.615326778306077</v>
      </c>
      <c r="BG493" s="79" t="s">
        <v>64</v>
      </c>
      <c r="BH493" s="15" t="s">
        <v>52</v>
      </c>
      <c r="BI493" s="9">
        <v>10.455742274409584</v>
      </c>
      <c r="BJ493" s="72" t="s">
        <v>64</v>
      </c>
      <c r="BK493" s="78" t="s">
        <v>175</v>
      </c>
      <c r="BL493" s="9">
        <v>10.366479343995485</v>
      </c>
      <c r="BM493" s="72" t="s">
        <v>64</v>
      </c>
      <c r="BN493" s="79" t="s">
        <v>33</v>
      </c>
      <c r="BO493" s="9">
        <v>10.302516030282904</v>
      </c>
    </row>
    <row r="494" spans="1:67" x14ac:dyDescent="0.45">
      <c r="A494" s="10">
        <v>461</v>
      </c>
      <c r="B494" s="10" t="s">
        <v>242</v>
      </c>
      <c r="C494" s="291" t="s">
        <v>2153</v>
      </c>
      <c r="D494" s="58" t="s">
        <v>1903</v>
      </c>
      <c r="E494" s="289" t="s">
        <v>2303</v>
      </c>
      <c r="F494" s="77" t="s">
        <v>2304</v>
      </c>
      <c r="G494" s="242" t="s">
        <v>1925</v>
      </c>
      <c r="H494" s="10"/>
      <c r="I494" s="62">
        <v>203.89740258</v>
      </c>
      <c r="J494" s="62">
        <v>146.99580186</v>
      </c>
      <c r="K494" s="62">
        <v>147.78610187000001</v>
      </c>
      <c r="L494" s="49">
        <v>3005.2524246112312</v>
      </c>
      <c r="M494" s="49">
        <v>2697.1192332933761</v>
      </c>
      <c r="N494" s="49">
        <v>2473.5204077590101</v>
      </c>
      <c r="O494" s="61">
        <v>18.939857070894387</v>
      </c>
      <c r="P494" s="60"/>
      <c r="Q494" s="74" t="s">
        <v>2443</v>
      </c>
      <c r="R494" s="9">
        <v>15.68061298576</v>
      </c>
      <c r="S494" s="67" t="s">
        <v>14</v>
      </c>
      <c r="T494" s="9">
        <v>14.70427128311111</v>
      </c>
      <c r="U494" s="67" t="s">
        <v>20</v>
      </c>
      <c r="V494" s="9">
        <v>12.727</v>
      </c>
      <c r="W494" s="58" t="s">
        <v>187</v>
      </c>
      <c r="X494" s="9">
        <v>143.72818180600001</v>
      </c>
      <c r="Y494" s="64" t="s">
        <v>52</v>
      </c>
      <c r="Z494" s="9">
        <v>52.402922073571432</v>
      </c>
      <c r="AA494" s="67" t="s">
        <v>20</v>
      </c>
      <c r="AB494" s="74" t="s">
        <v>307</v>
      </c>
      <c r="AC494" s="9">
        <v>25.210075568887927</v>
      </c>
      <c r="AD494" s="76" t="s">
        <v>20</v>
      </c>
      <c r="AE494" s="76" t="s">
        <v>30</v>
      </c>
      <c r="AF494" s="9">
        <v>24.059606945281928</v>
      </c>
      <c r="AG494" s="67" t="s">
        <v>14</v>
      </c>
      <c r="AH494" s="74" t="s">
        <v>307</v>
      </c>
      <c r="AI494" s="9">
        <v>23.977396598539681</v>
      </c>
      <c r="AJ494" s="74" t="s">
        <v>241</v>
      </c>
      <c r="AK494" s="291" t="s">
        <v>307</v>
      </c>
      <c r="AL494" s="9">
        <v>22.914348679722941</v>
      </c>
      <c r="AM494" s="67" t="s">
        <v>14</v>
      </c>
      <c r="AN494" s="67" t="s">
        <v>30</v>
      </c>
      <c r="AO494" s="9">
        <v>22.87975221416508</v>
      </c>
      <c r="AP494" s="60"/>
      <c r="AQ494" s="74" t="s">
        <v>241</v>
      </c>
      <c r="AR494" s="9">
        <v>15.313597661116001</v>
      </c>
      <c r="AS494" s="67" t="s">
        <v>14</v>
      </c>
      <c r="AT494" s="9">
        <v>5.2711992203719999</v>
      </c>
      <c r="AU494" s="76" t="s">
        <v>20</v>
      </c>
      <c r="AV494" s="9">
        <v>4.3333333333333002</v>
      </c>
      <c r="AW494" s="55" t="s">
        <v>187</v>
      </c>
      <c r="AX494" s="9">
        <v>199.79996751550001</v>
      </c>
      <c r="AY494" s="291" t="s">
        <v>307</v>
      </c>
      <c r="AZ494" s="9">
        <v>3.2030217024702221</v>
      </c>
      <c r="BA494" s="76" t="s">
        <v>20</v>
      </c>
      <c r="BB494" s="291" t="s">
        <v>307</v>
      </c>
      <c r="BC494" s="9">
        <v>15.382484036979594</v>
      </c>
      <c r="BD494" s="291" t="s">
        <v>241</v>
      </c>
      <c r="BE494" s="291" t="s">
        <v>307</v>
      </c>
      <c r="BF494" s="9">
        <v>14.692908005943588</v>
      </c>
      <c r="BG494" s="76" t="s">
        <v>14</v>
      </c>
      <c r="BH494" s="74" t="s">
        <v>307</v>
      </c>
      <c r="BI494" s="9">
        <v>13.95024780729625</v>
      </c>
      <c r="BJ494" s="67" t="s">
        <v>20</v>
      </c>
      <c r="BK494" s="58" t="s">
        <v>187</v>
      </c>
      <c r="BL494" s="9">
        <v>13.734451597680675</v>
      </c>
      <c r="BM494" s="74" t="s">
        <v>241</v>
      </c>
      <c r="BN494" s="58" t="s">
        <v>187</v>
      </c>
      <c r="BO494" s="9">
        <v>13.389444679739151</v>
      </c>
    </row>
    <row r="495" spans="1:67" x14ac:dyDescent="0.45">
      <c r="A495" s="10">
        <v>462</v>
      </c>
      <c r="B495" s="10" t="s">
        <v>523</v>
      </c>
      <c r="C495" s="59" t="s">
        <v>2125</v>
      </c>
      <c r="D495" s="80" t="s">
        <v>1892</v>
      </c>
      <c r="E495" s="58" t="s">
        <v>2160</v>
      </c>
      <c r="F495" s="64" t="s">
        <v>2248</v>
      </c>
      <c r="G495" s="63" t="s">
        <v>2249</v>
      </c>
      <c r="H495" s="10"/>
      <c r="I495" s="62">
        <v>199.94590253000001</v>
      </c>
      <c r="J495" s="62">
        <v>173.86600220000003</v>
      </c>
      <c r="K495" s="62">
        <v>147.78610187000001</v>
      </c>
      <c r="L495" s="49">
        <v>3205.0635100971294</v>
      </c>
      <c r="M495" s="49">
        <v>2977.4228286581238</v>
      </c>
      <c r="N495" s="49">
        <v>2807.0077598641769</v>
      </c>
      <c r="O495" s="61">
        <v>21.88919234793633</v>
      </c>
      <c r="P495" s="60"/>
      <c r="Q495" s="51" t="s">
        <v>74</v>
      </c>
      <c r="R495" s="9">
        <v>10.59740332144</v>
      </c>
      <c r="S495" s="51" t="s">
        <v>6</v>
      </c>
      <c r="T495" s="9">
        <v>11.711503558685715</v>
      </c>
      <c r="U495" s="51" t="s">
        <v>74</v>
      </c>
      <c r="V495" s="9">
        <v>13.635999999999999</v>
      </c>
      <c r="W495" s="290" t="s">
        <v>1483</v>
      </c>
      <c r="X495" s="9">
        <v>168.95455812520001</v>
      </c>
      <c r="Y495" s="64" t="s">
        <v>52</v>
      </c>
      <c r="Z495" s="9">
        <v>51.415047061071434</v>
      </c>
      <c r="AA495" s="51" t="s">
        <v>6</v>
      </c>
      <c r="AB495" s="51" t="s">
        <v>94</v>
      </c>
      <c r="AC495" s="9">
        <v>23.812323815921236</v>
      </c>
      <c r="AD495" s="290" t="s">
        <v>74</v>
      </c>
      <c r="AE495" s="290" t="s">
        <v>94</v>
      </c>
      <c r="AF495" s="9">
        <v>23.025872091117019</v>
      </c>
      <c r="AG495" s="51" t="s">
        <v>6</v>
      </c>
      <c r="AH495" s="51" t="s">
        <v>1483</v>
      </c>
      <c r="AI495" s="9">
        <v>22.093486613071075</v>
      </c>
      <c r="AJ495" s="51" t="s">
        <v>74</v>
      </c>
      <c r="AK495" s="290" t="s">
        <v>1483</v>
      </c>
      <c r="AL495" s="9">
        <v>21.327752752217542</v>
      </c>
      <c r="AM495" s="51" t="s">
        <v>6</v>
      </c>
      <c r="AN495" s="15" t="s">
        <v>52</v>
      </c>
      <c r="AO495" s="9">
        <v>20.152414382027562</v>
      </c>
      <c r="AP495" s="60"/>
      <c r="AQ495" s="51" t="s">
        <v>74</v>
      </c>
      <c r="AR495" s="9">
        <v>8.7978901986700002</v>
      </c>
      <c r="AS495" s="51" t="s">
        <v>6</v>
      </c>
      <c r="AT495" s="9">
        <v>3.6191560794680004</v>
      </c>
      <c r="AU495" s="290" t="s">
        <v>6</v>
      </c>
      <c r="AV495" s="9">
        <v>4</v>
      </c>
      <c r="AW495" s="51" t="s">
        <v>1483</v>
      </c>
      <c r="AX495" s="9">
        <v>234.93670596010003</v>
      </c>
      <c r="AY495" s="290" t="s">
        <v>1483</v>
      </c>
      <c r="AZ495" s="9">
        <v>2.9367088245012503</v>
      </c>
      <c r="BA495" s="290" t="s">
        <v>6</v>
      </c>
      <c r="BB495" s="290" t="s">
        <v>1483</v>
      </c>
      <c r="BC495" s="9">
        <v>14.634277502355241</v>
      </c>
      <c r="BD495" s="290" t="s">
        <v>6</v>
      </c>
      <c r="BE495" s="290" t="s">
        <v>94</v>
      </c>
      <c r="BF495" s="9">
        <v>13.822331449585928</v>
      </c>
      <c r="BG495" s="290" t="s">
        <v>6</v>
      </c>
      <c r="BH495" s="53" t="s">
        <v>180</v>
      </c>
      <c r="BI495" s="9">
        <v>13.412456270266379</v>
      </c>
      <c r="BJ495" s="51" t="s">
        <v>74</v>
      </c>
      <c r="BK495" s="290" t="s">
        <v>1483</v>
      </c>
      <c r="BL495" s="9">
        <v>13.10013936834542</v>
      </c>
      <c r="BM495" s="51" t="s">
        <v>6</v>
      </c>
      <c r="BN495" s="64" t="s">
        <v>52</v>
      </c>
      <c r="BO495" s="9">
        <v>12.610244271812975</v>
      </c>
    </row>
    <row r="496" spans="1:67" x14ac:dyDescent="0.45">
      <c r="A496" s="10">
        <v>463</v>
      </c>
      <c r="B496" s="10" t="s">
        <v>521</v>
      </c>
      <c r="C496" s="64" t="s">
        <v>1889</v>
      </c>
      <c r="D496" s="65"/>
      <c r="E496" s="58" t="s">
        <v>1903</v>
      </c>
      <c r="F496" s="77"/>
      <c r="G496" s="77" t="s">
        <v>1888</v>
      </c>
      <c r="H496" s="10"/>
      <c r="I496" s="62">
        <v>139.09280176000001</v>
      </c>
      <c r="J496" s="62">
        <v>154.89880196000001</v>
      </c>
      <c r="K496" s="62">
        <v>203.10710257000002</v>
      </c>
      <c r="L496" s="49">
        <v>2467.1254879903017</v>
      </c>
      <c r="M496" s="49">
        <v>2675.3784007397685</v>
      </c>
      <c r="N496" s="49">
        <v>2854.5680312012259</v>
      </c>
      <c r="O496" s="61">
        <v>27.241388426645454</v>
      </c>
      <c r="P496" s="60"/>
      <c r="Q496" s="57" t="s">
        <v>95</v>
      </c>
      <c r="R496" s="9">
        <v>9.3455681056000017</v>
      </c>
      <c r="S496" s="68" t="s">
        <v>273</v>
      </c>
      <c r="T496" s="9">
        <v>8.9546400880000014</v>
      </c>
      <c r="U496" s="68" t="s">
        <v>273</v>
      </c>
      <c r="V496" s="9">
        <v>12</v>
      </c>
      <c r="W496" s="79" t="s">
        <v>9</v>
      </c>
      <c r="X496" s="9">
        <v>126.18352158400002</v>
      </c>
      <c r="Y496" s="64" t="s">
        <v>112</v>
      </c>
      <c r="Z496" s="9">
        <v>33.206189890526318</v>
      </c>
      <c r="AA496" s="68" t="s">
        <v>273</v>
      </c>
      <c r="AB496" s="15" t="s">
        <v>112</v>
      </c>
      <c r="AC496" s="9">
        <v>16.446988807479677</v>
      </c>
      <c r="AD496" s="77" t="s">
        <v>273</v>
      </c>
      <c r="AE496" s="79" t="s">
        <v>9</v>
      </c>
      <c r="AF496" s="9">
        <v>15.096862860597016</v>
      </c>
      <c r="AG496" s="68" t="s">
        <v>273</v>
      </c>
      <c r="AH496" s="68" t="s">
        <v>73</v>
      </c>
      <c r="AI496" s="9">
        <v>15.04986994139535</v>
      </c>
      <c r="AJ496" s="57" t="s">
        <v>95</v>
      </c>
      <c r="AK496" s="64" t="s">
        <v>112</v>
      </c>
      <c r="AL496" s="9">
        <v>14.840486664864864</v>
      </c>
      <c r="AM496" s="68" t="s">
        <v>273</v>
      </c>
      <c r="AN496" s="71" t="s">
        <v>79</v>
      </c>
      <c r="AO496" s="9">
        <v>14.419785287603309</v>
      </c>
      <c r="AP496" s="60"/>
      <c r="AQ496" s="57" t="s">
        <v>95</v>
      </c>
      <c r="AR496" s="9">
        <v>8.2328256915200004</v>
      </c>
      <c r="AS496" s="68" t="s">
        <v>273</v>
      </c>
      <c r="AT496" s="9">
        <v>3.7123096343200004</v>
      </c>
      <c r="AU496" s="77" t="s">
        <v>273</v>
      </c>
      <c r="AV496" s="9">
        <v>3</v>
      </c>
      <c r="AW496" s="15" t="s">
        <v>112</v>
      </c>
      <c r="AX496" s="9">
        <v>163.73857805920002</v>
      </c>
      <c r="AY496" s="64" t="s">
        <v>112</v>
      </c>
      <c r="AZ496" s="9">
        <v>2.0467322257400005</v>
      </c>
      <c r="BA496" s="77" t="s">
        <v>273</v>
      </c>
      <c r="BB496" s="64" t="s">
        <v>112</v>
      </c>
      <c r="BC496" s="9">
        <v>9.4963916255807241</v>
      </c>
      <c r="BD496" s="77" t="s">
        <v>273</v>
      </c>
      <c r="BE496" s="79" t="s">
        <v>9</v>
      </c>
      <c r="BF496" s="9">
        <v>8.5160387457060249</v>
      </c>
      <c r="BG496" s="77" t="s">
        <v>273</v>
      </c>
      <c r="BH496" s="71" t="s">
        <v>79</v>
      </c>
      <c r="BI496" s="9">
        <v>8.3790776816058834</v>
      </c>
      <c r="BJ496" s="68" t="s">
        <v>273</v>
      </c>
      <c r="BK496" s="77" t="s">
        <v>73</v>
      </c>
      <c r="BL496" s="9">
        <v>8.2484136779241375</v>
      </c>
      <c r="BM496" s="57" t="s">
        <v>95</v>
      </c>
      <c r="BN496" s="64" t="s">
        <v>112</v>
      </c>
      <c r="BO496" s="9">
        <v>6.6709655434016266</v>
      </c>
    </row>
    <row r="497" spans="1:67" x14ac:dyDescent="0.45">
      <c r="A497" s="10">
        <v>464</v>
      </c>
      <c r="B497" s="10" t="s">
        <v>310</v>
      </c>
      <c r="C497" s="80" t="s">
        <v>2122</v>
      </c>
      <c r="D497" s="288" t="s">
        <v>2161</v>
      </c>
      <c r="E497" s="58" t="s">
        <v>2242</v>
      </c>
      <c r="F497" s="64" t="s">
        <v>2243</v>
      </c>
      <c r="G497" s="63" t="s">
        <v>2220</v>
      </c>
      <c r="H497" s="10"/>
      <c r="I497" s="62">
        <v>202.31680256000001</v>
      </c>
      <c r="J497" s="62">
        <v>162.01150205000002</v>
      </c>
      <c r="K497" s="62">
        <v>210.21980266000003</v>
      </c>
      <c r="L497" s="49">
        <v>3733.7195091260101</v>
      </c>
      <c r="M497" s="49">
        <v>3621.0480145533124</v>
      </c>
      <c r="N497" s="49">
        <v>3533.3638313123629</v>
      </c>
      <c r="O497" s="61">
        <v>29.309542917188541</v>
      </c>
      <c r="P497" s="60"/>
      <c r="Q497" s="71" t="s">
        <v>80</v>
      </c>
      <c r="R497" s="9">
        <v>22.85021467648</v>
      </c>
      <c r="S497" s="52" t="s">
        <v>249</v>
      </c>
      <c r="T497" s="9">
        <v>17.018677538133332</v>
      </c>
      <c r="U497" s="71" t="s">
        <v>80</v>
      </c>
      <c r="V497" s="9">
        <v>8.5709999999999997</v>
      </c>
      <c r="W497" s="80" t="s">
        <v>79</v>
      </c>
      <c r="X497" s="9">
        <v>170.94611415040001</v>
      </c>
      <c r="Y497" s="56" t="s">
        <v>87</v>
      </c>
      <c r="Z497" s="9">
        <v>53.213078928695651</v>
      </c>
      <c r="AA497" s="71" t="s">
        <v>80</v>
      </c>
      <c r="AB497" s="71" t="s">
        <v>79</v>
      </c>
      <c r="AC497" s="9">
        <v>23.246792977698767</v>
      </c>
      <c r="AD497" s="56" t="s">
        <v>249</v>
      </c>
      <c r="AE497" s="80" t="s">
        <v>79</v>
      </c>
      <c r="AF497" s="9">
        <v>22.731118945066669</v>
      </c>
      <c r="AG497" s="71" t="s">
        <v>80</v>
      </c>
      <c r="AH497" s="52" t="s">
        <v>87</v>
      </c>
      <c r="AI497" s="9">
        <v>22.016242525122152</v>
      </c>
      <c r="AJ497" s="52" t="s">
        <v>249</v>
      </c>
      <c r="AK497" s="56" t="s">
        <v>87</v>
      </c>
      <c r="AL497" s="9">
        <v>21.669354811781009</v>
      </c>
      <c r="AM497" s="71" t="s">
        <v>80</v>
      </c>
      <c r="AN497" s="15" t="s">
        <v>142</v>
      </c>
      <c r="AO497" s="9">
        <v>21.53871679951083</v>
      </c>
      <c r="AP497" s="60"/>
      <c r="AQ497" s="52" t="s">
        <v>249</v>
      </c>
      <c r="AR497" s="9">
        <v>19.936852719616002</v>
      </c>
      <c r="AS497" s="52" t="s">
        <v>249</v>
      </c>
      <c r="AT497" s="9">
        <v>6.6456175732053344</v>
      </c>
      <c r="AU497" s="56" t="s">
        <v>2521</v>
      </c>
      <c r="AV497" s="9">
        <v>2.6666666666666998</v>
      </c>
      <c r="AW497" s="71" t="s">
        <v>79</v>
      </c>
      <c r="AX497" s="9">
        <v>190.36852719616002</v>
      </c>
      <c r="AY497" s="80" t="s">
        <v>79</v>
      </c>
      <c r="AZ497" s="9">
        <v>2.9287465722486155</v>
      </c>
      <c r="BA497" s="56" t="s">
        <v>249</v>
      </c>
      <c r="BB497" s="80" t="s">
        <v>79</v>
      </c>
      <c r="BC497" s="9">
        <v>13.885929282484335</v>
      </c>
      <c r="BD497" s="56" t="s">
        <v>249</v>
      </c>
      <c r="BE497" s="56" t="s">
        <v>87</v>
      </c>
      <c r="BF497" s="9">
        <v>13.681986980076763</v>
      </c>
      <c r="BG497" s="80" t="s">
        <v>80</v>
      </c>
      <c r="BH497" s="71" t="s">
        <v>79</v>
      </c>
      <c r="BI497" s="9">
        <v>13.380635593332022</v>
      </c>
      <c r="BJ497" s="52" t="s">
        <v>249</v>
      </c>
      <c r="BK497" s="58" t="s">
        <v>1774</v>
      </c>
      <c r="BL497" s="9">
        <v>13.279018563280001</v>
      </c>
      <c r="BM497" s="71" t="s">
        <v>80</v>
      </c>
      <c r="BN497" s="56" t="s">
        <v>87</v>
      </c>
      <c r="BO497" s="9">
        <v>13.180288088179424</v>
      </c>
    </row>
    <row r="498" spans="1:67" x14ac:dyDescent="0.45">
      <c r="A498" s="10">
        <v>465</v>
      </c>
      <c r="B498" s="10" t="s">
        <v>518</v>
      </c>
      <c r="C498" s="79" t="s">
        <v>1983</v>
      </c>
      <c r="D498" s="65"/>
      <c r="E498" s="63" t="s">
        <v>2265</v>
      </c>
      <c r="F498" s="80" t="s">
        <v>2266</v>
      </c>
      <c r="G498" s="242"/>
      <c r="H498" s="10"/>
      <c r="I498" s="62">
        <v>175.44660222000002</v>
      </c>
      <c r="J498" s="62">
        <v>157.26970199000002</v>
      </c>
      <c r="K498" s="62">
        <v>189.67200240000003</v>
      </c>
      <c r="L498" s="49">
        <v>3030.184751314936</v>
      </c>
      <c r="M498" s="49">
        <v>3014.3626729586626</v>
      </c>
      <c r="N498" s="49">
        <v>3001.7645136814162</v>
      </c>
      <c r="O498" s="61">
        <v>25.775892380143148</v>
      </c>
      <c r="P498" s="60"/>
      <c r="Q498" s="69" t="s">
        <v>10</v>
      </c>
      <c r="R498" s="9">
        <v>9.7723301110000005</v>
      </c>
      <c r="S498" s="72" t="s">
        <v>24</v>
      </c>
      <c r="T498" s="9">
        <v>13.947928822066666</v>
      </c>
      <c r="U498" s="69" t="s">
        <v>10</v>
      </c>
      <c r="V498" s="9">
        <v>12.727</v>
      </c>
      <c r="W498" s="79" t="s">
        <v>9</v>
      </c>
      <c r="X498" s="9">
        <v>190.48233039760001</v>
      </c>
      <c r="Y498" s="79" t="s">
        <v>9</v>
      </c>
      <c r="Z498" s="9">
        <v>38.873944979102042</v>
      </c>
      <c r="AA498" s="72" t="s">
        <v>24</v>
      </c>
      <c r="AB498" s="72" t="s">
        <v>9</v>
      </c>
      <c r="AC498" s="9">
        <v>22.036503601501988</v>
      </c>
      <c r="AD498" s="79" t="s">
        <v>24</v>
      </c>
      <c r="AE498" s="79" t="s">
        <v>1485</v>
      </c>
      <c r="AF498" s="9">
        <v>21.773790698570178</v>
      </c>
      <c r="AG498" s="69" t="s">
        <v>10</v>
      </c>
      <c r="AH498" s="72" t="s">
        <v>1485</v>
      </c>
      <c r="AI498" s="9">
        <v>20.010862345002188</v>
      </c>
      <c r="AJ498" s="69" t="s">
        <v>10</v>
      </c>
      <c r="AK498" s="79" t="s">
        <v>9</v>
      </c>
      <c r="AL498" s="9">
        <v>19.610289874861312</v>
      </c>
      <c r="AM498" s="72" t="s">
        <v>24</v>
      </c>
      <c r="AN498" s="54" t="s">
        <v>124</v>
      </c>
      <c r="AO498" s="9">
        <v>19.30387465730594</v>
      </c>
      <c r="AP498" s="60"/>
      <c r="AQ498" s="72" t="s">
        <v>2462</v>
      </c>
      <c r="AR498" s="9">
        <v>7.8424174865800005</v>
      </c>
      <c r="AS498" s="72" t="s">
        <v>24</v>
      </c>
      <c r="AT498" s="9">
        <v>3.9212087432900002</v>
      </c>
      <c r="AU498" s="79" t="s">
        <v>24</v>
      </c>
      <c r="AV498" s="9">
        <v>4</v>
      </c>
      <c r="AW498" s="72" t="s">
        <v>9</v>
      </c>
      <c r="AX498" s="9">
        <v>206.27252459740004</v>
      </c>
      <c r="AY498" s="79" t="s">
        <v>9</v>
      </c>
      <c r="AZ498" s="9">
        <v>2.5784065574675004</v>
      </c>
      <c r="BA498" s="79" t="s">
        <v>24</v>
      </c>
      <c r="BB498" s="79" t="s">
        <v>9</v>
      </c>
      <c r="BC498" s="9">
        <v>13.556985688723811</v>
      </c>
      <c r="BD498" s="79" t="s">
        <v>24</v>
      </c>
      <c r="BE498" s="79" t="s">
        <v>1485</v>
      </c>
      <c r="BF498" s="9">
        <v>12.828046225893706</v>
      </c>
      <c r="BG498" s="289" t="s">
        <v>10</v>
      </c>
      <c r="BH498" s="72" t="s">
        <v>9</v>
      </c>
      <c r="BI498" s="9">
        <v>11.539407049792036</v>
      </c>
      <c r="BJ498" s="69" t="s">
        <v>10</v>
      </c>
      <c r="BK498" s="79" t="s">
        <v>1485</v>
      </c>
      <c r="BL498" s="9">
        <v>10.918754886160498</v>
      </c>
      <c r="BM498" s="72" t="s">
        <v>24</v>
      </c>
      <c r="BN498" s="63" t="s">
        <v>124</v>
      </c>
      <c r="BO498" s="9">
        <v>10.462766107075927</v>
      </c>
    </row>
    <row r="499" spans="1:67" x14ac:dyDescent="0.45">
      <c r="A499" s="10">
        <v>466</v>
      </c>
      <c r="B499" s="10" t="s">
        <v>116</v>
      </c>
      <c r="C499" s="290" t="s">
        <v>1992</v>
      </c>
      <c r="D499" s="65"/>
      <c r="E499" s="80" t="s">
        <v>1892</v>
      </c>
      <c r="F499" s="287" t="s">
        <v>2211</v>
      </c>
      <c r="G499" s="242"/>
      <c r="H499" s="10"/>
      <c r="I499" s="62">
        <v>208.63920264000001</v>
      </c>
      <c r="J499" s="62">
        <v>140.67340178000001</v>
      </c>
      <c r="K499" s="62">
        <v>154.89880196000001</v>
      </c>
      <c r="L499" s="49">
        <v>3079.8242808807017</v>
      </c>
      <c r="M499" s="49">
        <v>2744.3361634358985</v>
      </c>
      <c r="N499" s="49">
        <v>2502.4557373166399</v>
      </c>
      <c r="O499" s="61">
        <v>19.102874994153993</v>
      </c>
      <c r="P499" s="60"/>
      <c r="Q499" s="55" t="s">
        <v>2391</v>
      </c>
      <c r="R499" s="9">
        <v>7.2591760792000004</v>
      </c>
      <c r="S499" s="55" t="s">
        <v>2391</v>
      </c>
      <c r="T499" s="9">
        <v>12.098626798666668</v>
      </c>
      <c r="U499" s="51" t="s">
        <v>115</v>
      </c>
      <c r="V499" s="9">
        <v>13.333</v>
      </c>
      <c r="W499" s="290" t="s">
        <v>222</v>
      </c>
      <c r="X499" s="9">
        <v>126.183521584</v>
      </c>
      <c r="Y499" s="64" t="s">
        <v>52</v>
      </c>
      <c r="Z499" s="9">
        <v>53.588372088571433</v>
      </c>
      <c r="AA499" s="51" t="s">
        <v>115</v>
      </c>
      <c r="AB499" s="51" t="s">
        <v>94</v>
      </c>
      <c r="AC499" s="9">
        <v>25.044885026866144</v>
      </c>
      <c r="AD499" s="58" t="s">
        <v>140</v>
      </c>
      <c r="AE499" s="290" t="s">
        <v>94</v>
      </c>
      <c r="AF499" s="9">
        <v>22.915566239333334</v>
      </c>
      <c r="AG499" s="51" t="s">
        <v>115</v>
      </c>
      <c r="AH499" s="51" t="s">
        <v>222</v>
      </c>
      <c r="AI499" s="9">
        <v>21.622824569960787</v>
      </c>
      <c r="AJ499" s="51" t="s">
        <v>115</v>
      </c>
      <c r="AK499" s="64" t="s">
        <v>52</v>
      </c>
      <c r="AL499" s="9">
        <v>21.174508580833333</v>
      </c>
      <c r="AM499" s="51" t="s">
        <v>115</v>
      </c>
      <c r="AN499" s="51" t="s">
        <v>5</v>
      </c>
      <c r="AO499" s="9">
        <v>20.3672445835969</v>
      </c>
      <c r="AP499" s="60"/>
      <c r="AQ499" s="55" t="s">
        <v>140</v>
      </c>
      <c r="AR499" s="9">
        <v>6.4246192686400008</v>
      </c>
      <c r="AS499" s="55" t="s">
        <v>140</v>
      </c>
      <c r="AT499" s="9">
        <v>3.2123096343200004</v>
      </c>
      <c r="AU499" s="290" t="s">
        <v>115</v>
      </c>
      <c r="AV499" s="9">
        <v>4.5</v>
      </c>
      <c r="AW499" s="15" t="s">
        <v>52</v>
      </c>
      <c r="AX499" s="9">
        <v>177.3001262308</v>
      </c>
      <c r="AY499" s="290" t="s">
        <v>94</v>
      </c>
      <c r="AZ499" s="9">
        <v>2.9492944050656003</v>
      </c>
      <c r="BA499" s="290" t="s">
        <v>115</v>
      </c>
      <c r="BB499" s="290" t="s">
        <v>94</v>
      </c>
      <c r="BC499" s="9">
        <v>14.874223388700186</v>
      </c>
      <c r="BD499" s="290" t="s">
        <v>115</v>
      </c>
      <c r="BE499" s="290" t="s">
        <v>222</v>
      </c>
      <c r="BF499" s="9">
        <v>14.159508860770233</v>
      </c>
      <c r="BG499" s="290" t="s">
        <v>115</v>
      </c>
      <c r="BH499" s="15" t="s">
        <v>52</v>
      </c>
      <c r="BI499" s="9">
        <v>13.472833221486711</v>
      </c>
      <c r="BJ499" s="51" t="s">
        <v>115</v>
      </c>
      <c r="BK499" s="290" t="s">
        <v>5</v>
      </c>
      <c r="BL499" s="9">
        <v>11.795980393978427</v>
      </c>
      <c r="BM499" s="51" t="s">
        <v>115</v>
      </c>
      <c r="BN499" s="291" t="s">
        <v>114</v>
      </c>
      <c r="BO499" s="9">
        <v>10.287448631070113</v>
      </c>
    </row>
    <row r="500" spans="1:67" x14ac:dyDescent="0.45">
      <c r="A500" s="10">
        <v>467</v>
      </c>
      <c r="B500" s="10" t="s">
        <v>107</v>
      </c>
      <c r="C500" s="75" t="s">
        <v>1976</v>
      </c>
      <c r="D500" s="65"/>
      <c r="E500" s="80" t="s">
        <v>2198</v>
      </c>
      <c r="F500" s="289" t="s">
        <v>2199</v>
      </c>
      <c r="G500" s="242"/>
      <c r="H500" s="10"/>
      <c r="I500" s="62">
        <v>207.05860262000002</v>
      </c>
      <c r="J500" s="62">
        <v>147.78610187000001</v>
      </c>
      <c r="K500" s="62">
        <v>154.89880196000001</v>
      </c>
      <c r="L500" s="49">
        <v>3132.8103515334151</v>
      </c>
      <c r="M500" s="49">
        <v>2821.7375725666393</v>
      </c>
      <c r="N500" s="49">
        <v>2595.2705209033861</v>
      </c>
      <c r="O500" s="61">
        <v>19.944386927760771</v>
      </c>
      <c r="P500" s="60"/>
      <c r="Q500" s="70" t="s">
        <v>36</v>
      </c>
      <c r="R500" s="9">
        <v>18.39292262008</v>
      </c>
      <c r="S500" s="70" t="s">
        <v>36</v>
      </c>
      <c r="T500" s="9">
        <v>16.720838745527271</v>
      </c>
      <c r="U500" s="55" t="s">
        <v>1507</v>
      </c>
      <c r="V500" s="9">
        <v>12.5</v>
      </c>
      <c r="W500" s="75" t="s">
        <v>19</v>
      </c>
      <c r="X500" s="9">
        <v>174.9292262008</v>
      </c>
      <c r="Y500" s="64" t="s">
        <v>52</v>
      </c>
      <c r="Z500" s="9">
        <v>53.193222083571442</v>
      </c>
      <c r="AA500" s="70" t="s">
        <v>36</v>
      </c>
      <c r="AB500" s="70" t="s">
        <v>19</v>
      </c>
      <c r="AC500" s="9">
        <v>23.609108710631578</v>
      </c>
      <c r="AD500" s="75" t="s">
        <v>36</v>
      </c>
      <c r="AE500" s="64" t="s">
        <v>52</v>
      </c>
      <c r="AF500" s="9">
        <v>22.567556685213741</v>
      </c>
      <c r="AG500" s="70" t="s">
        <v>36</v>
      </c>
      <c r="AH500" s="57" t="s">
        <v>82</v>
      </c>
      <c r="AI500" s="9">
        <v>22.426624611975903</v>
      </c>
      <c r="AJ500" s="70" t="s">
        <v>36</v>
      </c>
      <c r="AK500" s="75" t="s">
        <v>13</v>
      </c>
      <c r="AL500" s="9">
        <v>22.268025158784088</v>
      </c>
      <c r="AM500" s="55" t="s">
        <v>1507</v>
      </c>
      <c r="AN500" s="70" t="s">
        <v>19</v>
      </c>
      <c r="AO500" s="9">
        <v>21.946939938426226</v>
      </c>
      <c r="AP500" s="60"/>
      <c r="AQ500" s="70" t="s">
        <v>36</v>
      </c>
      <c r="AR500" s="9">
        <v>15.535513903924002</v>
      </c>
      <c r="AS500" s="70" t="s">
        <v>36</v>
      </c>
      <c r="AT500" s="9">
        <v>5.1785046346413344</v>
      </c>
      <c r="AU500" s="58" t="s">
        <v>1507</v>
      </c>
      <c r="AV500" s="9">
        <v>3.5</v>
      </c>
      <c r="AW500" s="70" t="s">
        <v>19</v>
      </c>
      <c r="AX500" s="9">
        <v>227.10799406104002</v>
      </c>
      <c r="AY500" s="75" t="s">
        <v>19</v>
      </c>
      <c r="AZ500" s="9">
        <v>2.8388499257630002</v>
      </c>
      <c r="BA500" s="75" t="s">
        <v>36</v>
      </c>
      <c r="BB500" s="75" t="s">
        <v>19</v>
      </c>
      <c r="BC500" s="9">
        <v>14.05568421169728</v>
      </c>
      <c r="BD500" s="58" t="s">
        <v>1507</v>
      </c>
      <c r="BE500" s="75" t="s">
        <v>19</v>
      </c>
      <c r="BF500" s="9">
        <v>13.222205540354972</v>
      </c>
      <c r="BG500" s="75" t="s">
        <v>36</v>
      </c>
      <c r="BH500" s="15" t="s">
        <v>52</v>
      </c>
      <c r="BI500" s="9">
        <v>12.941505297334912</v>
      </c>
      <c r="BJ500" s="55" t="s">
        <v>1507</v>
      </c>
      <c r="BK500" s="64" t="s">
        <v>52</v>
      </c>
      <c r="BL500" s="9">
        <v>12.059931669780955</v>
      </c>
      <c r="BM500" s="70" t="s">
        <v>36</v>
      </c>
      <c r="BN500" s="242" t="s">
        <v>82</v>
      </c>
      <c r="BO500" s="9">
        <v>11.861406228816115</v>
      </c>
    </row>
    <row r="501" spans="1:67" x14ac:dyDescent="0.45">
      <c r="A501" s="10">
        <v>468</v>
      </c>
      <c r="B501" s="10" t="s">
        <v>514</v>
      </c>
      <c r="C501" s="287" t="s">
        <v>2142</v>
      </c>
      <c r="D501" s="65"/>
      <c r="E501" s="63" t="s">
        <v>2283</v>
      </c>
      <c r="F501" s="79" t="s">
        <v>2162</v>
      </c>
      <c r="G501" s="58" t="s">
        <v>2284</v>
      </c>
      <c r="H501" s="10"/>
      <c r="I501" s="62">
        <v>189.67200240000003</v>
      </c>
      <c r="J501" s="62">
        <v>183.34960232</v>
      </c>
      <c r="K501" s="62">
        <v>168.33390213000001</v>
      </c>
      <c r="L501" s="49">
        <v>3332.1842764025364</v>
      </c>
      <c r="M501" s="49">
        <v>3248.1533762403569</v>
      </c>
      <c r="N501" s="49">
        <v>3182.4569842719934</v>
      </c>
      <c r="O501" s="61">
        <v>26.081856073639941</v>
      </c>
      <c r="P501" s="60"/>
      <c r="Q501" s="14" t="s">
        <v>161</v>
      </c>
      <c r="R501" s="9">
        <v>23.760640288000001</v>
      </c>
      <c r="S501" s="14" t="s">
        <v>161</v>
      </c>
      <c r="T501" s="9">
        <v>15.840426858666667</v>
      </c>
      <c r="U501" s="71" t="s">
        <v>2808</v>
      </c>
      <c r="V501" s="9">
        <v>10</v>
      </c>
      <c r="W501" s="65" t="s">
        <v>63</v>
      </c>
      <c r="X501" s="9">
        <v>114.80320144000001</v>
      </c>
      <c r="Y501" s="65" t="s">
        <v>63</v>
      </c>
      <c r="Z501" s="9">
        <v>32.800914697142858</v>
      </c>
      <c r="AA501" s="14" t="s">
        <v>161</v>
      </c>
      <c r="AB501" s="14" t="s">
        <v>63</v>
      </c>
      <c r="AC501" s="9">
        <v>21.593543878766521</v>
      </c>
      <c r="AD501" s="287" t="s">
        <v>158</v>
      </c>
      <c r="AE501" s="65" t="s">
        <v>63</v>
      </c>
      <c r="AF501" s="9">
        <v>20.996362362947369</v>
      </c>
      <c r="AG501" s="16" t="s">
        <v>1506</v>
      </c>
      <c r="AH501" s="14" t="s">
        <v>63</v>
      </c>
      <c r="AI501" s="9">
        <v>20.592721822745101</v>
      </c>
      <c r="AJ501" s="14" t="s">
        <v>161</v>
      </c>
      <c r="AK501" s="287" t="s">
        <v>203</v>
      </c>
      <c r="AL501" s="9">
        <v>19.522653293787087</v>
      </c>
      <c r="AM501" s="71" t="s">
        <v>1518</v>
      </c>
      <c r="AN501" s="14" t="s">
        <v>63</v>
      </c>
      <c r="AO501" s="9">
        <v>19.47700416156863</v>
      </c>
      <c r="AP501" s="60"/>
      <c r="AQ501" s="14" t="s">
        <v>161</v>
      </c>
      <c r="AR501" s="9">
        <v>24.671065899520006</v>
      </c>
      <c r="AS501" s="14" t="s">
        <v>161</v>
      </c>
      <c r="AT501" s="9">
        <v>8.2236886331733352</v>
      </c>
      <c r="AU501" s="287" t="s">
        <v>158</v>
      </c>
      <c r="AV501" s="9">
        <v>3</v>
      </c>
      <c r="AW501" s="14" t="s">
        <v>63</v>
      </c>
      <c r="AX501" s="9">
        <v>163.73857805920002</v>
      </c>
      <c r="AY501" s="65" t="s">
        <v>63</v>
      </c>
      <c r="AZ501" s="9">
        <v>2.3391225437028575</v>
      </c>
      <c r="BA501" s="65" t="s">
        <v>161</v>
      </c>
      <c r="BB501" s="65" t="s">
        <v>63</v>
      </c>
      <c r="BC501" s="9">
        <v>12.543546672785189</v>
      </c>
      <c r="BD501" s="65" t="s">
        <v>161</v>
      </c>
      <c r="BE501" s="75" t="s">
        <v>76</v>
      </c>
      <c r="BF501" s="9">
        <v>11.863493291798832</v>
      </c>
      <c r="BG501" s="65" t="s">
        <v>161</v>
      </c>
      <c r="BH501" s="52" t="s">
        <v>282</v>
      </c>
      <c r="BI501" s="9">
        <v>11.588670439931917</v>
      </c>
      <c r="BJ501" s="14" t="s">
        <v>161</v>
      </c>
      <c r="BK501" s="287" t="s">
        <v>203</v>
      </c>
      <c r="BL501" s="9">
        <v>11.378820564936172</v>
      </c>
      <c r="BM501" s="16" t="s">
        <v>158</v>
      </c>
      <c r="BN501" s="65" t="s">
        <v>63</v>
      </c>
      <c r="BO501" s="9">
        <v>11.304545307426487</v>
      </c>
    </row>
    <row r="502" spans="1:67" x14ac:dyDescent="0.45">
      <c r="A502" s="10">
        <v>469</v>
      </c>
      <c r="B502" s="10" t="s">
        <v>511</v>
      </c>
      <c r="C502" s="287" t="s">
        <v>2108</v>
      </c>
      <c r="D502" s="56" t="s">
        <v>2025</v>
      </c>
      <c r="E502" s="287" t="s">
        <v>2205</v>
      </c>
      <c r="F502" s="289" t="s">
        <v>1887</v>
      </c>
      <c r="G502" s="58" t="s">
        <v>2164</v>
      </c>
      <c r="H502" s="80" t="s">
        <v>1892</v>
      </c>
      <c r="I502" s="62">
        <v>194.41380246</v>
      </c>
      <c r="J502" s="62">
        <v>135.14130171000002</v>
      </c>
      <c r="K502" s="62">
        <v>169.91450215</v>
      </c>
      <c r="L502" s="49">
        <v>2946.0245874048551</v>
      </c>
      <c r="M502" s="49">
        <v>2711.2137589754611</v>
      </c>
      <c r="N502" s="49">
        <v>2536.9135842707419</v>
      </c>
      <c r="O502" s="61">
        <v>20.22873008441017</v>
      </c>
      <c r="P502" s="60"/>
      <c r="Q502" s="16" t="s">
        <v>1505</v>
      </c>
      <c r="R502" s="9">
        <v>10.331862518079999</v>
      </c>
      <c r="S502" s="69" t="s">
        <v>38</v>
      </c>
      <c r="T502" s="9">
        <v>13.6648281476</v>
      </c>
      <c r="U502" s="69" t="s">
        <v>38</v>
      </c>
      <c r="V502" s="9">
        <v>12</v>
      </c>
      <c r="W502" s="289" t="s">
        <v>126</v>
      </c>
      <c r="X502" s="9">
        <v>105.98345332839999</v>
      </c>
      <c r="Y502" s="289" t="s">
        <v>126</v>
      </c>
      <c r="Z502" s="9">
        <v>28.64417657524324</v>
      </c>
      <c r="AA502" s="69" t="s">
        <v>38</v>
      </c>
      <c r="AB502" s="69" t="s">
        <v>126</v>
      </c>
      <c r="AC502" s="9">
        <v>20.710199653822034</v>
      </c>
      <c r="AD502" s="287" t="s">
        <v>1505</v>
      </c>
      <c r="AE502" s="289" t="s">
        <v>126</v>
      </c>
      <c r="AF502" s="9">
        <v>20.060630366433834</v>
      </c>
      <c r="AG502" s="69" t="s">
        <v>38</v>
      </c>
      <c r="AH502" s="16" t="s">
        <v>203</v>
      </c>
      <c r="AI502" s="9">
        <v>19.91480036472532</v>
      </c>
      <c r="AJ502" s="16" t="s">
        <v>1505</v>
      </c>
      <c r="AK502" s="287" t="s">
        <v>203</v>
      </c>
      <c r="AL502" s="9">
        <v>19.284621766067676</v>
      </c>
      <c r="AM502" s="69" t="s">
        <v>38</v>
      </c>
      <c r="AN502" s="52" t="s">
        <v>282</v>
      </c>
      <c r="AO502" s="9">
        <v>17.044675777681416</v>
      </c>
      <c r="AP502" s="60"/>
      <c r="AQ502" s="16" t="s">
        <v>1505</v>
      </c>
      <c r="AR502" s="9">
        <v>8.5821382959400001</v>
      </c>
      <c r="AS502" s="69" t="s">
        <v>38</v>
      </c>
      <c r="AT502" s="9">
        <v>5.5492829775640002</v>
      </c>
      <c r="AU502" s="287" t="s">
        <v>1505</v>
      </c>
      <c r="AV502" s="9">
        <v>3.5</v>
      </c>
      <c r="AW502" s="69" t="s">
        <v>126</v>
      </c>
      <c r="AX502" s="9">
        <v>137.47848932692</v>
      </c>
      <c r="AY502" s="289" t="s">
        <v>126</v>
      </c>
      <c r="AZ502" s="9">
        <v>2.2913081554486667</v>
      </c>
      <c r="BA502" s="289" t="s">
        <v>38</v>
      </c>
      <c r="BB502" s="289" t="s">
        <v>126</v>
      </c>
      <c r="BC502" s="9">
        <v>11.831626137057143</v>
      </c>
      <c r="BD502" s="287" t="s">
        <v>1505</v>
      </c>
      <c r="BE502" s="289" t="s">
        <v>126</v>
      </c>
      <c r="BF502" s="9">
        <v>11.632108055471182</v>
      </c>
      <c r="BG502" s="289" t="s">
        <v>38</v>
      </c>
      <c r="BH502" s="52" t="s">
        <v>282</v>
      </c>
      <c r="BI502" s="9">
        <v>10.793595298922501</v>
      </c>
      <c r="BJ502" s="69" t="s">
        <v>38</v>
      </c>
      <c r="BK502" s="287" t="s">
        <v>203</v>
      </c>
      <c r="BL502" s="9">
        <v>10.477672869925</v>
      </c>
      <c r="BM502" s="16" t="s">
        <v>1505</v>
      </c>
      <c r="BN502" s="56" t="s">
        <v>282</v>
      </c>
      <c r="BO502" s="9">
        <v>10.437156537653607</v>
      </c>
    </row>
    <row r="503" spans="1:67" x14ac:dyDescent="0.45">
      <c r="A503" s="10">
        <v>470</v>
      </c>
      <c r="B503" s="10" t="s">
        <v>292</v>
      </c>
      <c r="C503" s="79" t="s">
        <v>1983</v>
      </c>
      <c r="D503" s="65"/>
      <c r="E503" s="63" t="s">
        <v>2265</v>
      </c>
      <c r="F503" s="80" t="s">
        <v>2266</v>
      </c>
      <c r="G503" s="242"/>
      <c r="H503" s="10"/>
      <c r="I503" s="62">
        <v>182.55930231000002</v>
      </c>
      <c r="J503" s="62">
        <v>184.93020234000002</v>
      </c>
      <c r="K503" s="62">
        <v>140.67340178000001</v>
      </c>
      <c r="L503" s="49">
        <v>2944.5157699964188</v>
      </c>
      <c r="M503" s="49">
        <v>2825.4168744897138</v>
      </c>
      <c r="N503" s="49">
        <v>2733.61566548053</v>
      </c>
      <c r="O503" s="61">
        <v>21.954677671020264</v>
      </c>
      <c r="P503" s="60"/>
      <c r="Q503" s="72" t="s">
        <v>64</v>
      </c>
      <c r="R503" s="9">
        <v>15.23962558018</v>
      </c>
      <c r="S503" s="72" t="s">
        <v>64</v>
      </c>
      <c r="T503" s="9">
        <v>15.23962558018</v>
      </c>
      <c r="U503" s="15" t="s">
        <v>291</v>
      </c>
      <c r="V503" s="9">
        <v>12.5</v>
      </c>
      <c r="W503" s="79" t="s">
        <v>9</v>
      </c>
      <c r="X503" s="9">
        <v>198.1640464948</v>
      </c>
      <c r="Y503" s="79" t="s">
        <v>9</v>
      </c>
      <c r="Z503" s="9">
        <v>40.441642141795917</v>
      </c>
      <c r="AA503" s="15" t="s">
        <v>291</v>
      </c>
      <c r="AB503" s="72" t="s">
        <v>9</v>
      </c>
      <c r="AC503" s="9">
        <v>21.797501350294574</v>
      </c>
      <c r="AD503" s="79" t="s">
        <v>64</v>
      </c>
      <c r="AE503" s="79" t="s">
        <v>9</v>
      </c>
      <c r="AF503" s="9">
        <v>21.445147246105527</v>
      </c>
      <c r="AG503" s="72" t="s">
        <v>64</v>
      </c>
      <c r="AH503" s="72" t="s">
        <v>169</v>
      </c>
      <c r="AI503" s="9">
        <v>20.97829524196942</v>
      </c>
      <c r="AJ503" s="15" t="s">
        <v>291</v>
      </c>
      <c r="AK503" s="79" t="s">
        <v>169</v>
      </c>
      <c r="AL503" s="9">
        <v>20.792660647013161</v>
      </c>
      <c r="AM503" s="72" t="s">
        <v>64</v>
      </c>
      <c r="AN503" s="15" t="s">
        <v>1567</v>
      </c>
      <c r="AO503" s="9">
        <v>19.118678254416789</v>
      </c>
      <c r="AP503" s="60"/>
      <c r="AQ503" s="72" t="s">
        <v>64</v>
      </c>
      <c r="AR503" s="9">
        <v>16.663588138198001</v>
      </c>
      <c r="AS503" s="72" t="s">
        <v>64</v>
      </c>
      <c r="AT503" s="9">
        <v>8.3317940690990007</v>
      </c>
      <c r="AU503" s="64" t="s">
        <v>291</v>
      </c>
      <c r="AV503" s="9">
        <v>3.5</v>
      </c>
      <c r="AW503" s="72" t="s">
        <v>9</v>
      </c>
      <c r="AX503" s="9">
        <v>214.59438370270004</v>
      </c>
      <c r="AY503" s="79" t="s">
        <v>169</v>
      </c>
      <c r="AZ503" s="9">
        <v>2.8764965446074289</v>
      </c>
      <c r="BA503" s="79" t="s">
        <v>64</v>
      </c>
      <c r="BB503" s="79" t="s">
        <v>9</v>
      </c>
      <c r="BC503" s="9">
        <v>13.362588938211221</v>
      </c>
      <c r="BD503" s="79" t="s">
        <v>64</v>
      </c>
      <c r="BE503" s="79" t="s">
        <v>169</v>
      </c>
      <c r="BF503" s="9">
        <v>13.323447311918514</v>
      </c>
      <c r="BG503" s="64" t="s">
        <v>291</v>
      </c>
      <c r="BH503" s="72" t="s">
        <v>9</v>
      </c>
      <c r="BI503" s="9">
        <v>12.316256718113175</v>
      </c>
      <c r="BJ503" s="15" t="s">
        <v>291</v>
      </c>
      <c r="BK503" s="79" t="s">
        <v>169</v>
      </c>
      <c r="BL503" s="9">
        <v>12.303933244239547</v>
      </c>
      <c r="BM503" s="72" t="s">
        <v>64</v>
      </c>
      <c r="BN503" s="79" t="s">
        <v>33</v>
      </c>
      <c r="BO503" s="9">
        <v>12.229369428857744</v>
      </c>
    </row>
    <row r="504" spans="1:67" x14ac:dyDescent="0.45">
      <c r="A504" s="10">
        <v>471</v>
      </c>
      <c r="B504" s="10" t="s">
        <v>308</v>
      </c>
      <c r="C504" s="291" t="s">
        <v>1919</v>
      </c>
      <c r="D504" s="65"/>
      <c r="E504" s="58" t="s">
        <v>2223</v>
      </c>
      <c r="F504" s="291" t="s">
        <v>1919</v>
      </c>
      <c r="G504" s="242"/>
      <c r="H504" s="10"/>
      <c r="I504" s="62">
        <v>199.94590253000001</v>
      </c>
      <c r="J504" s="62">
        <v>173.86600220000003</v>
      </c>
      <c r="K504" s="62">
        <v>140.67340178000001</v>
      </c>
      <c r="L504" s="49">
        <v>3126.9852855054928</v>
      </c>
      <c r="M504" s="49">
        <v>2881.1073766803238</v>
      </c>
      <c r="N504" s="49">
        <v>2698.4000103335511</v>
      </c>
      <c r="O504" s="61">
        <v>20.835701807126558</v>
      </c>
      <c r="P504" s="60"/>
      <c r="Q504" s="74" t="s">
        <v>241</v>
      </c>
      <c r="R504" s="9">
        <v>15.396104982160001</v>
      </c>
      <c r="S504" s="74" t="s">
        <v>109</v>
      </c>
      <c r="T504" s="9">
        <v>14.440837946444445</v>
      </c>
      <c r="U504" s="74" t="s">
        <v>241</v>
      </c>
      <c r="V504" s="9">
        <v>10</v>
      </c>
      <c r="W504" s="291" t="s">
        <v>2445</v>
      </c>
      <c r="X504" s="9">
        <v>108.9707873662</v>
      </c>
      <c r="Y504" s="291" t="s">
        <v>307</v>
      </c>
      <c r="Z504" s="9">
        <v>40.359550876370371</v>
      </c>
      <c r="AA504" s="74" t="s">
        <v>109</v>
      </c>
      <c r="AB504" s="74" t="s">
        <v>307</v>
      </c>
      <c r="AC504" s="9">
        <v>22.846907004798798</v>
      </c>
      <c r="AD504" s="291" t="s">
        <v>241</v>
      </c>
      <c r="AE504" s="291" t="s">
        <v>307</v>
      </c>
      <c r="AF504" s="9">
        <v>22.483275946995672</v>
      </c>
      <c r="AG504" s="74" t="s">
        <v>109</v>
      </c>
      <c r="AH504" s="74" t="s">
        <v>189</v>
      </c>
      <c r="AI504" s="9">
        <v>21.310980483467787</v>
      </c>
      <c r="AJ504" s="74" t="s">
        <v>241</v>
      </c>
      <c r="AK504" s="291" t="s">
        <v>189</v>
      </c>
      <c r="AL504" s="9">
        <v>20.857978890586345</v>
      </c>
      <c r="AM504" s="74" t="s">
        <v>109</v>
      </c>
      <c r="AN504" s="15" t="s">
        <v>1567</v>
      </c>
      <c r="AO504" s="9">
        <v>20.200043353343109</v>
      </c>
      <c r="AP504" s="60"/>
      <c r="AQ504" s="74" t="s">
        <v>241</v>
      </c>
      <c r="AR504" s="9">
        <v>15.036202357606001</v>
      </c>
      <c r="AS504" s="74" t="s">
        <v>109</v>
      </c>
      <c r="AT504" s="9">
        <v>5.9585231390690003</v>
      </c>
      <c r="AU504" s="291" t="s">
        <v>241</v>
      </c>
      <c r="AV504" s="9">
        <v>3.3333333333333002</v>
      </c>
      <c r="AW504" s="74" t="s">
        <v>2444</v>
      </c>
      <c r="AX504" s="9">
        <v>141.36202357606001</v>
      </c>
      <c r="AY504" s="291" t="s">
        <v>307</v>
      </c>
      <c r="AZ504" s="9">
        <v>3.1413783016902226</v>
      </c>
      <c r="BA504" s="291" t="s">
        <v>241</v>
      </c>
      <c r="BB504" s="291" t="s">
        <v>307</v>
      </c>
      <c r="BC504" s="9">
        <v>14.415512702433587</v>
      </c>
      <c r="BD504" s="291" t="s">
        <v>109</v>
      </c>
      <c r="BE504" s="291" t="s">
        <v>307</v>
      </c>
      <c r="BF504" s="9">
        <v>13.085023162068527</v>
      </c>
      <c r="BG504" s="291" t="s">
        <v>241</v>
      </c>
      <c r="BH504" s="74" t="s">
        <v>189</v>
      </c>
      <c r="BI504" s="9">
        <v>12.803493516736744</v>
      </c>
      <c r="BJ504" s="74" t="s">
        <v>109</v>
      </c>
      <c r="BK504" s="291" t="s">
        <v>189</v>
      </c>
      <c r="BL504" s="9">
        <v>11.845631853720784</v>
      </c>
      <c r="BM504" s="74" t="s">
        <v>241</v>
      </c>
      <c r="BN504" s="64" t="s">
        <v>1567</v>
      </c>
      <c r="BO504" s="9">
        <v>11.466712339821887</v>
      </c>
    </row>
    <row r="505" spans="1:67" x14ac:dyDescent="0.45">
      <c r="A505" s="10">
        <v>472</v>
      </c>
      <c r="B505" s="10" t="s">
        <v>163</v>
      </c>
      <c r="C505" s="80" t="s">
        <v>2150</v>
      </c>
      <c r="D505" s="291" t="s">
        <v>1919</v>
      </c>
      <c r="E505" s="288" t="s">
        <v>1993</v>
      </c>
      <c r="F505" s="58" t="s">
        <v>2298</v>
      </c>
      <c r="G505" s="80" t="s">
        <v>1892</v>
      </c>
      <c r="H505" s="10"/>
      <c r="I505" s="62">
        <v>158.060002</v>
      </c>
      <c r="J505" s="62">
        <v>187.30110237000002</v>
      </c>
      <c r="K505" s="62">
        <v>154.89880196000001</v>
      </c>
      <c r="L505" s="49">
        <v>2692.2549195320698</v>
      </c>
      <c r="M505" s="49">
        <v>2760.1980849524712</v>
      </c>
      <c r="N505" s="49">
        <v>2815.7851034822697</v>
      </c>
      <c r="O505" s="61">
        <v>24.435853975867914</v>
      </c>
      <c r="P505" s="60"/>
      <c r="Q505" s="16" t="s">
        <v>1505</v>
      </c>
      <c r="R505" s="9">
        <v>8.5868800959999998</v>
      </c>
      <c r="S505" s="16" t="s">
        <v>1505</v>
      </c>
      <c r="T505" s="9">
        <v>10.733600119999998</v>
      </c>
      <c r="U505" s="69" t="s">
        <v>27</v>
      </c>
      <c r="V505" s="9">
        <v>15</v>
      </c>
      <c r="W505" s="80" t="s">
        <v>79</v>
      </c>
      <c r="X505" s="9">
        <v>133.77040167999999</v>
      </c>
      <c r="Y505" s="80" t="s">
        <v>79</v>
      </c>
      <c r="Z505" s="9">
        <v>37.158444911111111</v>
      </c>
      <c r="AA505" s="69" t="s">
        <v>27</v>
      </c>
      <c r="AB505" s="71" t="s">
        <v>79</v>
      </c>
      <c r="AC505" s="9">
        <v>18.372663672115383</v>
      </c>
      <c r="AD505" s="287" t="s">
        <v>1505</v>
      </c>
      <c r="AE505" s="80" t="s">
        <v>79</v>
      </c>
      <c r="AF505" s="9">
        <v>17.94037597212121</v>
      </c>
      <c r="AG505" s="16" t="s">
        <v>1505</v>
      </c>
      <c r="AH505" s="16" t="s">
        <v>203</v>
      </c>
      <c r="AI505" s="9">
        <v>15.842559581629832</v>
      </c>
      <c r="AJ505" s="69" t="s">
        <v>27</v>
      </c>
      <c r="AK505" s="287" t="s">
        <v>203</v>
      </c>
      <c r="AL505" s="9">
        <v>15.552480948076923</v>
      </c>
      <c r="AM505" s="16" t="s">
        <v>1505</v>
      </c>
      <c r="AN505" s="67" t="s">
        <v>1491</v>
      </c>
      <c r="AO505" s="9">
        <v>14.007123551649928</v>
      </c>
      <c r="AP505" s="60"/>
      <c r="AQ505" s="16" t="s">
        <v>1505</v>
      </c>
      <c r="AR505" s="9">
        <v>7.1643400780000004</v>
      </c>
      <c r="AS505" s="16" t="s">
        <v>1505</v>
      </c>
      <c r="AT505" s="9">
        <v>3.5821700390000002</v>
      </c>
      <c r="AU505" s="289" t="s">
        <v>27</v>
      </c>
      <c r="AV505" s="9">
        <v>4</v>
      </c>
      <c r="AW505" s="71" t="s">
        <v>79</v>
      </c>
      <c r="AX505" s="9">
        <v>148.944161872</v>
      </c>
      <c r="AY505" s="80" t="s">
        <v>79</v>
      </c>
      <c r="AZ505" s="9">
        <v>2.2914486441846154</v>
      </c>
      <c r="BA505" s="289" t="s">
        <v>27</v>
      </c>
      <c r="BB505" s="80" t="s">
        <v>79</v>
      </c>
      <c r="BC505" s="9">
        <v>11.512135495333332</v>
      </c>
      <c r="BD505" s="287" t="s">
        <v>1505</v>
      </c>
      <c r="BE505" s="80" t="s">
        <v>79</v>
      </c>
      <c r="BF505" s="9">
        <v>11.009425096160584</v>
      </c>
      <c r="BG505" s="289" t="s">
        <v>27</v>
      </c>
      <c r="BH505" s="16" t="s">
        <v>203</v>
      </c>
      <c r="BI505" s="9">
        <v>8.422368665346939</v>
      </c>
      <c r="BJ505" s="16" t="s">
        <v>1505</v>
      </c>
      <c r="BK505" s="287" t="s">
        <v>203</v>
      </c>
      <c r="BL505" s="9">
        <v>8.2891699950103099</v>
      </c>
      <c r="BM505" s="69" t="s">
        <v>27</v>
      </c>
      <c r="BN505" s="76" t="s">
        <v>1491</v>
      </c>
      <c r="BO505" s="9">
        <v>8.1127000900000006</v>
      </c>
    </row>
    <row r="506" spans="1:67" x14ac:dyDescent="0.45">
      <c r="A506" s="10">
        <v>473</v>
      </c>
      <c r="B506" s="10" t="s">
        <v>309</v>
      </c>
      <c r="C506" s="80" t="s">
        <v>2155</v>
      </c>
      <c r="D506" s="65"/>
      <c r="E506" s="58" t="s">
        <v>2306</v>
      </c>
      <c r="F506" s="63" t="s">
        <v>1971</v>
      </c>
      <c r="G506" s="290" t="s">
        <v>1992</v>
      </c>
      <c r="H506" s="10"/>
      <c r="I506" s="62">
        <v>207.05860262000002</v>
      </c>
      <c r="J506" s="62">
        <v>127.23830161000001</v>
      </c>
      <c r="K506" s="62">
        <v>203.10710257000002</v>
      </c>
      <c r="L506" s="49">
        <v>3328.624196742162</v>
      </c>
      <c r="M506" s="49">
        <v>3059.314806813959</v>
      </c>
      <c r="N506" s="49">
        <v>2859.6421573514317</v>
      </c>
      <c r="O506" s="61">
        <v>22.92594453100476</v>
      </c>
      <c r="P506" s="60"/>
      <c r="Q506" s="71" t="s">
        <v>80</v>
      </c>
      <c r="R506" s="9">
        <v>23.362329082960002</v>
      </c>
      <c r="S506" s="71" t="s">
        <v>80</v>
      </c>
      <c r="T506" s="9">
        <v>16.687377916400003</v>
      </c>
      <c r="U506" s="74" t="s">
        <v>59</v>
      </c>
      <c r="V506" s="9">
        <v>15</v>
      </c>
      <c r="W506" s="291" t="s">
        <v>307</v>
      </c>
      <c r="X506" s="9">
        <v>112.81164541480001</v>
      </c>
      <c r="Y506" s="56" t="s">
        <v>87</v>
      </c>
      <c r="Z506" s="9">
        <v>45.44752230869566</v>
      </c>
      <c r="AA506" s="71" t="s">
        <v>80</v>
      </c>
      <c r="AB506" s="74" t="s">
        <v>307</v>
      </c>
      <c r="AC506" s="9">
        <v>24.627501944585941</v>
      </c>
      <c r="AD506" s="291" t="s">
        <v>59</v>
      </c>
      <c r="AE506" s="291" t="s">
        <v>307</v>
      </c>
      <c r="AF506" s="9">
        <v>23.368841612574588</v>
      </c>
      <c r="AG506" s="71" t="s">
        <v>80</v>
      </c>
      <c r="AH506" s="71" t="s">
        <v>1504</v>
      </c>
      <c r="AI506" s="9">
        <v>21.185482189635714</v>
      </c>
      <c r="AJ506" s="71" t="s">
        <v>80</v>
      </c>
      <c r="AK506" s="56" t="s">
        <v>87</v>
      </c>
      <c r="AL506" s="9">
        <v>21.126863292391949</v>
      </c>
      <c r="AM506" s="74" t="s">
        <v>59</v>
      </c>
      <c r="AN506" s="71" t="s">
        <v>1504</v>
      </c>
      <c r="AO506" s="9">
        <v>18.814901693463412</v>
      </c>
      <c r="AP506" s="60"/>
      <c r="AQ506" s="71" t="s">
        <v>80</v>
      </c>
      <c r="AR506" s="9">
        <v>18.765628104796001</v>
      </c>
      <c r="AS506" s="71" t="s">
        <v>80</v>
      </c>
      <c r="AT506" s="9">
        <v>6.2552093682653336</v>
      </c>
      <c r="AU506" s="291" t="s">
        <v>59</v>
      </c>
      <c r="AV506" s="9">
        <v>4</v>
      </c>
      <c r="AW506" s="74" t="s">
        <v>307</v>
      </c>
      <c r="AX506" s="9">
        <v>146.35513903924002</v>
      </c>
      <c r="AY506" s="291" t="s">
        <v>307</v>
      </c>
      <c r="AZ506" s="9">
        <v>3.2523364230942224</v>
      </c>
      <c r="BA506" s="291" t="s">
        <v>59</v>
      </c>
      <c r="BB506" s="291" t="s">
        <v>307</v>
      </c>
      <c r="BC506" s="9">
        <v>15.372973371351023</v>
      </c>
      <c r="BD506" s="80" t="s">
        <v>80</v>
      </c>
      <c r="BE506" s="291" t="s">
        <v>307</v>
      </c>
      <c r="BF506" s="9">
        <v>14.092967671536645</v>
      </c>
      <c r="BG506" s="291" t="s">
        <v>59</v>
      </c>
      <c r="BH506" s="52" t="s">
        <v>87</v>
      </c>
      <c r="BI506" s="9">
        <v>12.669638099321356</v>
      </c>
      <c r="BJ506" s="71" t="s">
        <v>80</v>
      </c>
      <c r="BK506" s="56" t="s">
        <v>87</v>
      </c>
      <c r="BL506" s="9">
        <v>12.235920690102775</v>
      </c>
      <c r="BM506" s="74" t="s">
        <v>59</v>
      </c>
      <c r="BN506" s="80" t="s">
        <v>1504</v>
      </c>
      <c r="BO506" s="9">
        <v>11.634767565497501</v>
      </c>
    </row>
    <row r="507" spans="1:67" x14ac:dyDescent="0.45">
      <c r="A507" s="10">
        <v>474</v>
      </c>
      <c r="B507" s="10" t="s">
        <v>501</v>
      </c>
      <c r="C507" s="64" t="s">
        <v>1889</v>
      </c>
      <c r="D507" s="65"/>
      <c r="E507" s="58" t="s">
        <v>1903</v>
      </c>
      <c r="F507" s="77"/>
      <c r="G507" s="77" t="s">
        <v>1888</v>
      </c>
      <c r="H507" s="10"/>
      <c r="I507" s="62">
        <v>220.49370279000001</v>
      </c>
      <c r="J507" s="62">
        <v>130.39950165000002</v>
      </c>
      <c r="K507" s="62">
        <v>168.33390213000001</v>
      </c>
      <c r="L507" s="49">
        <v>3266.780480642904</v>
      </c>
      <c r="M507" s="49">
        <v>2861.2939428174709</v>
      </c>
      <c r="N507" s="49">
        <v>2573.454501164445</v>
      </c>
      <c r="O507" s="61">
        <v>19.418494891860234</v>
      </c>
      <c r="P507" s="60"/>
      <c r="Q507" s="71" t="s">
        <v>2808</v>
      </c>
      <c r="R507" s="9">
        <v>17.537027709250001</v>
      </c>
      <c r="S507" s="71" t="s">
        <v>2808</v>
      </c>
      <c r="T507" s="9">
        <v>11.691351806166667</v>
      </c>
      <c r="U507" s="15" t="s">
        <v>1553</v>
      </c>
      <c r="V507" s="9">
        <v>20</v>
      </c>
      <c r="W507" s="79" t="s">
        <v>2411</v>
      </c>
      <c r="X507" s="9">
        <v>199.444332511</v>
      </c>
      <c r="Y507" s="64" t="s">
        <v>52</v>
      </c>
      <c r="Z507" s="9">
        <v>67.576682265571435</v>
      </c>
      <c r="AA507" s="15" t="s">
        <v>1553</v>
      </c>
      <c r="AB507" s="15" t="s">
        <v>112</v>
      </c>
      <c r="AC507" s="9">
        <v>26.846594403997752</v>
      </c>
      <c r="AD507" s="64" t="s">
        <v>1553</v>
      </c>
      <c r="AE507" s="64" t="s">
        <v>52</v>
      </c>
      <c r="AF507" s="9">
        <v>25.440432352586857</v>
      </c>
      <c r="AG507" s="15" t="s">
        <v>1553</v>
      </c>
      <c r="AH507" s="72" t="s">
        <v>9</v>
      </c>
      <c r="AI507" s="9">
        <v>23.893469019558001</v>
      </c>
      <c r="AJ507" s="51" t="s">
        <v>74</v>
      </c>
      <c r="AK507" s="64" t="s">
        <v>112</v>
      </c>
      <c r="AL507" s="9">
        <v>23.320223416713045</v>
      </c>
      <c r="AM507" s="71" t="s">
        <v>1518</v>
      </c>
      <c r="AN507" s="15" t="s">
        <v>112</v>
      </c>
      <c r="AO507" s="9">
        <v>22.531715138164333</v>
      </c>
      <c r="AP507" s="60"/>
      <c r="AQ507" s="71" t="s">
        <v>2808</v>
      </c>
      <c r="AR507" s="9">
        <v>13.898881613215002</v>
      </c>
      <c r="AS507" s="71" t="s">
        <v>2808</v>
      </c>
      <c r="AT507" s="9">
        <v>4.6329605377383336</v>
      </c>
      <c r="AU507" s="64" t="s">
        <v>1553</v>
      </c>
      <c r="AV507" s="9">
        <v>5</v>
      </c>
      <c r="AW507" s="15" t="s">
        <v>112</v>
      </c>
      <c r="AX507" s="9">
        <v>258.97763226430004</v>
      </c>
      <c r="AY507" s="64" t="s">
        <v>112</v>
      </c>
      <c r="AZ507" s="9">
        <v>3.2372204033037506</v>
      </c>
      <c r="BA507" s="64" t="s">
        <v>1553</v>
      </c>
      <c r="BB507" s="64" t="s">
        <v>112</v>
      </c>
      <c r="BC507" s="9">
        <v>17.793838021911295</v>
      </c>
      <c r="BD507" s="64" t="s">
        <v>1553</v>
      </c>
      <c r="BE507" s="64" t="s">
        <v>52</v>
      </c>
      <c r="BF507" s="9">
        <v>17.510568464915202</v>
      </c>
      <c r="BG507" s="64" t="s">
        <v>1553</v>
      </c>
      <c r="BH507" s="72" t="s">
        <v>9</v>
      </c>
      <c r="BI507" s="9">
        <v>15.264645548731885</v>
      </c>
      <c r="BJ507" s="15" t="s">
        <v>1553</v>
      </c>
      <c r="BK507" s="290" t="s">
        <v>1483</v>
      </c>
      <c r="BL507" s="9">
        <v>15.264645548731885</v>
      </c>
      <c r="BM507" s="15" t="s">
        <v>1553</v>
      </c>
      <c r="BN507" s="291" t="s">
        <v>132</v>
      </c>
      <c r="BO507" s="9">
        <v>14.25718388024875</v>
      </c>
    </row>
    <row r="508" spans="1:67" x14ac:dyDescent="0.45">
      <c r="A508" s="10">
        <v>475</v>
      </c>
      <c r="B508" s="10" t="s">
        <v>236</v>
      </c>
      <c r="C508" s="58" t="s">
        <v>2170</v>
      </c>
      <c r="D508" s="65"/>
      <c r="E508" s="287" t="s">
        <v>2330</v>
      </c>
      <c r="F508" s="58" t="s">
        <v>2193</v>
      </c>
      <c r="G508" s="242"/>
      <c r="H508" s="10"/>
      <c r="I508" s="62">
        <v>199.15560252</v>
      </c>
      <c r="J508" s="62">
        <v>165.96300210000001</v>
      </c>
      <c r="K508" s="62">
        <v>145.41520184000001</v>
      </c>
      <c r="L508" s="49">
        <v>3093.8772180117003</v>
      </c>
      <c r="M508" s="49">
        <v>2848.0159283306916</v>
      </c>
      <c r="N508" s="49">
        <v>2665.4705308568409</v>
      </c>
      <c r="O508" s="61">
        <v>20.698378426139811</v>
      </c>
      <c r="P508" s="60"/>
      <c r="Q508" s="57" t="s">
        <v>101</v>
      </c>
      <c r="R508" s="9">
        <v>24.898672302399998</v>
      </c>
      <c r="S508" s="57" t="s">
        <v>101</v>
      </c>
      <c r="T508" s="9">
        <v>15.561670188999997</v>
      </c>
      <c r="U508" s="55" t="s">
        <v>140</v>
      </c>
      <c r="V508" s="9">
        <v>10</v>
      </c>
      <c r="W508" s="58" t="s">
        <v>216</v>
      </c>
      <c r="X508" s="9">
        <v>120.49336151199999</v>
      </c>
      <c r="Y508" s="58" t="s">
        <v>216</v>
      </c>
      <c r="Z508" s="9">
        <v>52.388418048695655</v>
      </c>
      <c r="AA508" s="57" t="s">
        <v>101</v>
      </c>
      <c r="AB508" s="57" t="s">
        <v>82</v>
      </c>
      <c r="AC508" s="9">
        <v>23.54995078304918</v>
      </c>
      <c r="AD508" s="58" t="s">
        <v>140</v>
      </c>
      <c r="AE508" s="242" t="s">
        <v>82</v>
      </c>
      <c r="AF508" s="9">
        <v>22.644107621811965</v>
      </c>
      <c r="AG508" s="57" t="s">
        <v>101</v>
      </c>
      <c r="AH508" s="57" t="s">
        <v>1540</v>
      </c>
      <c r="AI508" s="9">
        <v>22.637428178689074</v>
      </c>
      <c r="AJ508" s="57" t="s">
        <v>101</v>
      </c>
      <c r="AK508" s="58" t="s">
        <v>216</v>
      </c>
      <c r="AL508" s="9">
        <v>21.835856861392589</v>
      </c>
      <c r="AM508" s="55" t="s">
        <v>140</v>
      </c>
      <c r="AN508" s="57" t="s">
        <v>1540</v>
      </c>
      <c r="AO508" s="9">
        <v>21.667724118280702</v>
      </c>
      <c r="AP508" s="60"/>
      <c r="AQ508" s="57" t="s">
        <v>101</v>
      </c>
      <c r="AR508" s="9">
        <v>25.854619194496003</v>
      </c>
      <c r="AS508" s="14" t="s">
        <v>161</v>
      </c>
      <c r="AT508" s="9">
        <v>7.237394220693333</v>
      </c>
      <c r="AU508" s="242" t="s">
        <v>101</v>
      </c>
      <c r="AV508" s="9">
        <v>3</v>
      </c>
      <c r="AW508" s="15" t="s">
        <v>52</v>
      </c>
      <c r="AX508" s="9">
        <v>169.28648412940001</v>
      </c>
      <c r="AY508" s="58" t="s">
        <v>216</v>
      </c>
      <c r="AZ508" s="9">
        <v>3.4742526659022221</v>
      </c>
      <c r="BA508" s="242" t="s">
        <v>101</v>
      </c>
      <c r="BB508" s="58" t="s">
        <v>216</v>
      </c>
      <c r="BC508" s="9">
        <v>15.831011996560001</v>
      </c>
      <c r="BD508" s="65" t="s">
        <v>161</v>
      </c>
      <c r="BE508" s="58" t="s">
        <v>216</v>
      </c>
      <c r="BF508" s="9">
        <v>13.582244252391488</v>
      </c>
      <c r="BG508" s="242" t="s">
        <v>101</v>
      </c>
      <c r="BH508" s="57" t="s">
        <v>82</v>
      </c>
      <c r="BI508" s="9">
        <v>13.412460566059313</v>
      </c>
      <c r="BJ508" s="57" t="s">
        <v>101</v>
      </c>
      <c r="BK508" s="242" t="s">
        <v>1540</v>
      </c>
      <c r="BL508" s="9">
        <v>13.188717506578113</v>
      </c>
      <c r="BM508" s="57" t="s">
        <v>101</v>
      </c>
      <c r="BN508" s="79" t="s">
        <v>169</v>
      </c>
      <c r="BO508" s="9">
        <v>13.186192510306316</v>
      </c>
    </row>
    <row r="509" spans="1:67" x14ac:dyDescent="0.45">
      <c r="A509" s="10">
        <v>476</v>
      </c>
      <c r="B509" s="10" t="s">
        <v>209</v>
      </c>
      <c r="C509" s="56" t="s">
        <v>2169</v>
      </c>
      <c r="D509" s="58" t="s">
        <v>2286</v>
      </c>
      <c r="E509" s="288" t="s">
        <v>1993</v>
      </c>
      <c r="F509" s="289" t="s">
        <v>2329</v>
      </c>
      <c r="G509" s="64" t="s">
        <v>2110</v>
      </c>
      <c r="H509" s="63" t="s">
        <v>1971</v>
      </c>
      <c r="I509" s="62">
        <v>118.54500150000001</v>
      </c>
      <c r="J509" s="62">
        <v>229.18700290000001</v>
      </c>
      <c r="K509" s="62">
        <v>134.35100170000001</v>
      </c>
      <c r="L509" s="49">
        <v>2080.1693525621954</v>
      </c>
      <c r="M509" s="49">
        <v>2370.6972381816795</v>
      </c>
      <c r="N509" s="49">
        <v>2632.0735074916729</v>
      </c>
      <c r="O509" s="61">
        <v>25.050300193208958</v>
      </c>
      <c r="P509" s="60"/>
      <c r="Q509" s="52" t="s">
        <v>41</v>
      </c>
      <c r="R509" s="9">
        <v>9.535240108</v>
      </c>
      <c r="S509" s="52" t="s">
        <v>41</v>
      </c>
      <c r="T509" s="9">
        <v>10.594711231111111</v>
      </c>
      <c r="U509" s="51" t="s">
        <v>6</v>
      </c>
      <c r="V509" s="9">
        <v>12.856999999999999</v>
      </c>
      <c r="W509" s="56" t="s">
        <v>40</v>
      </c>
      <c r="X509" s="9">
        <v>57.901600720000005</v>
      </c>
      <c r="Y509" s="56" t="s">
        <v>40</v>
      </c>
      <c r="Z509" s="9">
        <v>21.445037303703703</v>
      </c>
      <c r="AA509" s="52" t="s">
        <v>41</v>
      </c>
      <c r="AB509" s="52" t="s">
        <v>40</v>
      </c>
      <c r="AC509" s="9">
        <v>13.803962604694835</v>
      </c>
      <c r="AD509" s="56" t="s">
        <v>41</v>
      </c>
      <c r="AE509" s="59" t="s">
        <v>208</v>
      </c>
      <c r="AF509" s="9">
        <v>13.575879865793013</v>
      </c>
      <c r="AG509" s="52" t="s">
        <v>41</v>
      </c>
      <c r="AH509" s="51" t="s">
        <v>182</v>
      </c>
      <c r="AI509" s="9">
        <v>13.0510081536</v>
      </c>
      <c r="AJ509" s="51" t="s">
        <v>6</v>
      </c>
      <c r="AK509" s="56" t="s">
        <v>40</v>
      </c>
      <c r="AL509" s="9">
        <v>12.629543148903879</v>
      </c>
      <c r="AM509" s="51" t="s">
        <v>6</v>
      </c>
      <c r="AN509" s="53" t="s">
        <v>208</v>
      </c>
      <c r="AO509" s="9">
        <v>12.547632702678573</v>
      </c>
      <c r="AP509" s="60"/>
      <c r="AQ509" s="52" t="s">
        <v>41</v>
      </c>
      <c r="AR509" s="9">
        <v>8.3972080936000015</v>
      </c>
      <c r="AS509" s="52" t="s">
        <v>41</v>
      </c>
      <c r="AT509" s="9">
        <v>4.1986040468000008</v>
      </c>
      <c r="AU509" s="290" t="s">
        <v>6</v>
      </c>
      <c r="AV509" s="9">
        <v>4</v>
      </c>
      <c r="AW509" s="52" t="s">
        <v>40</v>
      </c>
      <c r="AX509" s="9">
        <v>74.972080936000012</v>
      </c>
      <c r="AY509" s="56" t="s">
        <v>40</v>
      </c>
      <c r="AZ509" s="9">
        <v>1.6660462430222225</v>
      </c>
      <c r="BA509" s="290" t="s">
        <v>6</v>
      </c>
      <c r="BB509" s="56" t="s">
        <v>40</v>
      </c>
      <c r="BC509" s="9">
        <v>7.9946357065612261</v>
      </c>
      <c r="BD509" s="56" t="s">
        <v>41</v>
      </c>
      <c r="BE509" s="56" t="s">
        <v>40</v>
      </c>
      <c r="BF509" s="9">
        <v>7.9235238830736856</v>
      </c>
      <c r="BG509" s="56" t="s">
        <v>41</v>
      </c>
      <c r="BH509" s="53" t="s">
        <v>208</v>
      </c>
      <c r="BI509" s="9">
        <v>7.4368654558631597</v>
      </c>
      <c r="BJ509" s="51" t="s">
        <v>6</v>
      </c>
      <c r="BK509" s="59" t="s">
        <v>208</v>
      </c>
      <c r="BL509" s="9">
        <v>7.2398185541530626</v>
      </c>
      <c r="BM509" s="52" t="s">
        <v>41</v>
      </c>
      <c r="BN509" s="290" t="s">
        <v>182</v>
      </c>
      <c r="BO509" s="9">
        <v>7.0747006481347832</v>
      </c>
    </row>
    <row r="510" spans="1:67" x14ac:dyDescent="0.45">
      <c r="A510" s="10">
        <v>477</v>
      </c>
      <c r="B510" s="10" t="s">
        <v>83</v>
      </c>
      <c r="C510" s="77" t="s">
        <v>1888</v>
      </c>
      <c r="D510" s="65"/>
      <c r="E510" s="77" t="s">
        <v>2167</v>
      </c>
      <c r="F510" s="63" t="s">
        <v>2109</v>
      </c>
      <c r="G510" s="64" t="s">
        <v>2295</v>
      </c>
      <c r="H510" s="10"/>
      <c r="I510" s="62">
        <v>154.10850195</v>
      </c>
      <c r="J510" s="62">
        <v>212.59070269</v>
      </c>
      <c r="K510" s="62">
        <v>113.01290143000001</v>
      </c>
      <c r="L510" s="49">
        <v>2388.7062449754976</v>
      </c>
      <c r="M510" s="49">
        <v>2393.3116825717912</v>
      </c>
      <c r="N510" s="49">
        <v>2397.0024249284265</v>
      </c>
      <c r="O510" s="61">
        <v>19.81335670374305</v>
      </c>
      <c r="P510" s="60"/>
      <c r="Q510" s="68" t="s">
        <v>70</v>
      </c>
      <c r="R510" s="9">
        <v>10.246510117</v>
      </c>
      <c r="S510" s="68" t="s">
        <v>70</v>
      </c>
      <c r="T510" s="9">
        <v>8.5387584308333331</v>
      </c>
      <c r="U510" s="68" t="s">
        <v>277</v>
      </c>
      <c r="V510" s="9">
        <v>12.727</v>
      </c>
      <c r="W510" s="242" t="s">
        <v>82</v>
      </c>
      <c r="X510" s="9">
        <v>70.348825877500005</v>
      </c>
      <c r="Y510" s="64" t="s">
        <v>52</v>
      </c>
      <c r="Z510" s="9">
        <v>39.955696916071432</v>
      </c>
      <c r="AA510" s="68" t="s">
        <v>70</v>
      </c>
      <c r="AB510" s="57" t="s">
        <v>82</v>
      </c>
      <c r="AC510" s="9">
        <v>15.368214647181373</v>
      </c>
      <c r="AD510" s="77" t="s">
        <v>70</v>
      </c>
      <c r="AE510" s="64" t="s">
        <v>52</v>
      </c>
      <c r="AF510" s="9">
        <v>15.070993165387788</v>
      </c>
      <c r="AG510" s="68" t="s">
        <v>277</v>
      </c>
      <c r="AH510" s="57" t="s">
        <v>82</v>
      </c>
      <c r="AI510" s="9">
        <v>14.912356337208069</v>
      </c>
      <c r="AJ510" s="68" t="s">
        <v>277</v>
      </c>
      <c r="AK510" s="64" t="s">
        <v>52</v>
      </c>
      <c r="AL510" s="9">
        <v>14.450633419601864</v>
      </c>
      <c r="AM510" s="68" t="s">
        <v>70</v>
      </c>
      <c r="AN510" s="68" t="s">
        <v>1486</v>
      </c>
      <c r="AO510" s="9">
        <v>14.094477798769573</v>
      </c>
      <c r="AP510" s="60"/>
      <c r="AQ510" s="68" t="s">
        <v>70</v>
      </c>
      <c r="AR510" s="9">
        <v>8.2122778912600012</v>
      </c>
      <c r="AS510" s="68" t="s">
        <v>70</v>
      </c>
      <c r="AT510" s="9">
        <v>2.7374259637533336</v>
      </c>
      <c r="AU510" s="77" t="s">
        <v>70</v>
      </c>
      <c r="AV510" s="9">
        <v>3.6666666666666998</v>
      </c>
      <c r="AW510" s="15" t="s">
        <v>52</v>
      </c>
      <c r="AX510" s="9">
        <v>131.22168414775001</v>
      </c>
      <c r="AY510" s="64" t="s">
        <v>52</v>
      </c>
      <c r="AZ510" s="9">
        <v>1.8745954878250002</v>
      </c>
      <c r="BA510" s="77" t="s">
        <v>70</v>
      </c>
      <c r="BB510" s="64" t="s">
        <v>52</v>
      </c>
      <c r="BC510" s="9">
        <v>9.1325700362599562</v>
      </c>
      <c r="BD510" s="77" t="s">
        <v>70</v>
      </c>
      <c r="BE510" s="242" t="s">
        <v>82</v>
      </c>
      <c r="BF510" s="9">
        <v>8.263428943565625</v>
      </c>
      <c r="BG510" s="77" t="s">
        <v>70</v>
      </c>
      <c r="BH510" s="67" t="s">
        <v>160</v>
      </c>
      <c r="BI510" s="9">
        <v>8.0938790417204984</v>
      </c>
      <c r="BJ510" s="68" t="s">
        <v>70</v>
      </c>
      <c r="BK510" s="77" t="s">
        <v>1486</v>
      </c>
      <c r="BL510" s="9">
        <v>7.6382945726404596</v>
      </c>
      <c r="BM510" s="68" t="s">
        <v>277</v>
      </c>
      <c r="BN510" s="64" t="s">
        <v>52</v>
      </c>
      <c r="BO510" s="9">
        <v>7.6333852404257998</v>
      </c>
    </row>
    <row r="511" spans="1:67" x14ac:dyDescent="0.45">
      <c r="A511" s="10">
        <v>478</v>
      </c>
      <c r="B511" s="10" t="s">
        <v>495</v>
      </c>
      <c r="C511" s="77" t="s">
        <v>2186</v>
      </c>
      <c r="D511" s="65"/>
      <c r="E511" s="56" t="s">
        <v>2356</v>
      </c>
      <c r="F511" s="58" t="s">
        <v>2357</v>
      </c>
      <c r="G511" s="64" t="s">
        <v>1889</v>
      </c>
      <c r="H511" s="10"/>
      <c r="I511" s="62">
        <v>146.99580186</v>
      </c>
      <c r="J511" s="62">
        <v>130.39950165000002</v>
      </c>
      <c r="K511" s="62">
        <v>147.78610187000001</v>
      </c>
      <c r="L511" s="49">
        <v>2040.6085146660648</v>
      </c>
      <c r="M511" s="49">
        <v>2002.0563862047188</v>
      </c>
      <c r="N511" s="49">
        <v>1971.7397559605772</v>
      </c>
      <c r="O511" s="61">
        <v>17.048162182055698</v>
      </c>
      <c r="P511" s="60"/>
      <c r="Q511" s="68" t="s">
        <v>70</v>
      </c>
      <c r="R511" s="9">
        <v>9.8197481115999992</v>
      </c>
      <c r="S511" s="68" t="s">
        <v>70</v>
      </c>
      <c r="T511" s="9">
        <v>8.1831234263333332</v>
      </c>
      <c r="U511" s="74" t="s">
        <v>59</v>
      </c>
      <c r="V511" s="9">
        <v>15</v>
      </c>
      <c r="W511" s="77" t="s">
        <v>73</v>
      </c>
      <c r="X511" s="9">
        <v>89.197481115999992</v>
      </c>
      <c r="Y511" s="291" t="s">
        <v>307</v>
      </c>
      <c r="Z511" s="9">
        <v>29.769530742370367</v>
      </c>
      <c r="AA511" s="68" t="s">
        <v>70</v>
      </c>
      <c r="AB511" s="68" t="s">
        <v>73</v>
      </c>
      <c r="AC511" s="9">
        <v>17.418567831619047</v>
      </c>
      <c r="AD511" s="291" t="s">
        <v>59</v>
      </c>
      <c r="AE511" s="77" t="s">
        <v>73</v>
      </c>
      <c r="AF511" s="9">
        <v>17.395312211452627</v>
      </c>
      <c r="AG511" s="68" t="s">
        <v>70</v>
      </c>
      <c r="AH511" s="74" t="s">
        <v>307</v>
      </c>
      <c r="AI511" s="9">
        <v>16.882123389512437</v>
      </c>
      <c r="AJ511" s="74" t="s">
        <v>59</v>
      </c>
      <c r="AK511" s="291" t="s">
        <v>307</v>
      </c>
      <c r="AL511" s="9">
        <v>16.798435783580111</v>
      </c>
      <c r="AM511" s="68" t="s">
        <v>70</v>
      </c>
      <c r="AN511" s="67" t="s">
        <v>91</v>
      </c>
      <c r="AO511" s="9">
        <v>12.659692009299242</v>
      </c>
      <c r="AP511" s="60"/>
      <c r="AQ511" s="68" t="s">
        <v>70</v>
      </c>
      <c r="AR511" s="9">
        <v>7.8794035270479998</v>
      </c>
      <c r="AS511" s="74" t="s">
        <v>59</v>
      </c>
      <c r="AT511" s="9">
        <v>2.7931345090160002</v>
      </c>
      <c r="AU511" s="291" t="s">
        <v>59</v>
      </c>
      <c r="AV511" s="9">
        <v>4</v>
      </c>
      <c r="AW511" s="68" t="s">
        <v>73</v>
      </c>
      <c r="AX511" s="9">
        <v>115.65672545080001</v>
      </c>
      <c r="AY511" s="291" t="s">
        <v>307</v>
      </c>
      <c r="AZ511" s="9">
        <v>2.3153567312382224</v>
      </c>
      <c r="BA511" s="291" t="s">
        <v>59</v>
      </c>
      <c r="BB511" s="291" t="s">
        <v>307</v>
      </c>
      <c r="BC511" s="9">
        <v>11.070515602624489</v>
      </c>
      <c r="BD511" s="291" t="s">
        <v>59</v>
      </c>
      <c r="BE511" s="77" t="s">
        <v>73</v>
      </c>
      <c r="BF511" s="9">
        <v>10.444903386425086</v>
      </c>
      <c r="BG511" s="77" t="s">
        <v>70</v>
      </c>
      <c r="BH511" s="74" t="s">
        <v>307</v>
      </c>
      <c r="BI511" s="9">
        <v>10.278594114247122</v>
      </c>
      <c r="BJ511" s="68" t="s">
        <v>70</v>
      </c>
      <c r="BK511" s="77" t="s">
        <v>73</v>
      </c>
      <c r="BL511" s="9">
        <v>9.6908589428775009</v>
      </c>
      <c r="BM511" s="74" t="s">
        <v>59</v>
      </c>
      <c r="BN511" s="76" t="s">
        <v>91</v>
      </c>
      <c r="BO511" s="9">
        <v>8.1066002508351023</v>
      </c>
    </row>
    <row r="512" spans="1:67" x14ac:dyDescent="0.45">
      <c r="A512" s="10">
        <v>480</v>
      </c>
      <c r="B512" s="10" t="s">
        <v>492</v>
      </c>
      <c r="C512" s="242" t="s">
        <v>1925</v>
      </c>
      <c r="D512" s="65"/>
      <c r="E512" s="289" t="s">
        <v>2239</v>
      </c>
      <c r="F512" s="58" t="s">
        <v>2170</v>
      </c>
      <c r="G512" s="242"/>
      <c r="H512" s="10"/>
      <c r="I512" s="62">
        <v>135.14130171000002</v>
      </c>
      <c r="J512" s="62">
        <v>225.23550285000002</v>
      </c>
      <c r="K512" s="62">
        <v>154.89880196000001</v>
      </c>
      <c r="L512" s="49">
        <v>2524.2394565786167</v>
      </c>
      <c r="M512" s="49">
        <v>2811.7843068044394</v>
      </c>
      <c r="N512" s="49">
        <v>3065.2306824209863</v>
      </c>
      <c r="O512" s="61">
        <v>28.47510496485706</v>
      </c>
      <c r="P512" s="60"/>
      <c r="Q512" s="57" t="s">
        <v>101</v>
      </c>
      <c r="R512" s="9">
        <v>17.216956205200002</v>
      </c>
      <c r="S512" s="57" t="s">
        <v>101</v>
      </c>
      <c r="T512" s="9">
        <v>10.76059762825</v>
      </c>
      <c r="U512" s="57" t="s">
        <v>34</v>
      </c>
      <c r="V512" s="9">
        <v>10.91</v>
      </c>
      <c r="W512" s="242" t="s">
        <v>295</v>
      </c>
      <c r="X512" s="9">
        <v>98.301737231200008</v>
      </c>
      <c r="Y512" s="242" t="s">
        <v>295</v>
      </c>
      <c r="Z512" s="9">
        <v>36.408050826370371</v>
      </c>
      <c r="AA512" s="57" t="s">
        <v>101</v>
      </c>
      <c r="AB512" s="57" t="s">
        <v>295</v>
      </c>
      <c r="AC512" s="9">
        <v>15.742477026446045</v>
      </c>
      <c r="AD512" s="242" t="s">
        <v>34</v>
      </c>
      <c r="AE512" s="242" t="s">
        <v>295</v>
      </c>
      <c r="AF512" s="9">
        <v>15.466134979307936</v>
      </c>
      <c r="AG512" s="57" t="s">
        <v>101</v>
      </c>
      <c r="AH512" s="51" t="s">
        <v>222</v>
      </c>
      <c r="AI512" s="9">
        <v>13.903628256720589</v>
      </c>
      <c r="AJ512" s="57" t="s">
        <v>34</v>
      </c>
      <c r="AK512" s="290" t="s">
        <v>222</v>
      </c>
      <c r="AL512" s="9">
        <v>13.426196289681302</v>
      </c>
      <c r="AM512" s="57" t="s">
        <v>101</v>
      </c>
      <c r="AN512" s="15" t="s">
        <v>120</v>
      </c>
      <c r="AO512" s="9">
        <v>12.1638005570082</v>
      </c>
      <c r="AP512" s="60"/>
      <c r="AQ512" s="57" t="s">
        <v>101</v>
      </c>
      <c r="AR512" s="9">
        <v>17.865634453408003</v>
      </c>
      <c r="AS512" s="57" t="s">
        <v>101</v>
      </c>
      <c r="AT512" s="9">
        <v>4.4664086133520007</v>
      </c>
      <c r="AU512" s="242" t="s">
        <v>34</v>
      </c>
      <c r="AV512" s="9">
        <v>3.3333333333333002</v>
      </c>
      <c r="AW512" s="57" t="s">
        <v>295</v>
      </c>
      <c r="AX512" s="9">
        <v>127.49225840056002</v>
      </c>
      <c r="AY512" s="242" t="s">
        <v>295</v>
      </c>
      <c r="AZ512" s="9">
        <v>1.9614193600086156</v>
      </c>
      <c r="BA512" s="242" t="s">
        <v>101</v>
      </c>
      <c r="BB512" s="242" t="s">
        <v>295</v>
      </c>
      <c r="BC512" s="9">
        <v>9.8940196333758834</v>
      </c>
      <c r="BD512" s="242" t="s">
        <v>34</v>
      </c>
      <c r="BE512" s="242" t="s">
        <v>295</v>
      </c>
      <c r="BF512" s="9">
        <v>9.2100278231285877</v>
      </c>
      <c r="BG512" s="242" t="s">
        <v>101</v>
      </c>
      <c r="BH512" s="51" t="s">
        <v>222</v>
      </c>
      <c r="BI512" s="9">
        <v>8.4842865894542872</v>
      </c>
      <c r="BJ512" s="57" t="s">
        <v>34</v>
      </c>
      <c r="BK512" s="290" t="s">
        <v>222</v>
      </c>
      <c r="BL512" s="9">
        <v>7.6546710248275813</v>
      </c>
      <c r="BM512" s="57" t="s">
        <v>101</v>
      </c>
      <c r="BN512" s="64" t="s">
        <v>120</v>
      </c>
      <c r="BO512" s="9">
        <v>7.0132378747424147</v>
      </c>
    </row>
    <row r="513" spans="1:67" x14ac:dyDescent="0.45">
      <c r="A513" s="10">
        <v>481</v>
      </c>
      <c r="B513" s="10" t="s">
        <v>490</v>
      </c>
      <c r="C513" s="242" t="s">
        <v>1925</v>
      </c>
      <c r="D513" s="65"/>
      <c r="E513" s="289" t="s">
        <v>2239</v>
      </c>
      <c r="F513" s="58" t="s">
        <v>2170</v>
      </c>
      <c r="G513" s="242"/>
      <c r="H513" s="10"/>
      <c r="I513" s="62">
        <v>179.39810227000001</v>
      </c>
      <c r="J513" s="62">
        <v>179.39810227000001</v>
      </c>
      <c r="K513" s="62">
        <v>162.01150205000002</v>
      </c>
      <c r="L513" s="49">
        <v>3058.438071749114</v>
      </c>
      <c r="M513" s="49">
        <v>3006.9141248625237</v>
      </c>
      <c r="N513" s="49">
        <v>2966.3206311356998</v>
      </c>
      <c r="O513" s="61">
        <v>24.64354992410227</v>
      </c>
      <c r="P513" s="60"/>
      <c r="Q513" s="57" t="s">
        <v>101</v>
      </c>
      <c r="R513" s="9">
        <v>22.5277722724</v>
      </c>
      <c r="S513" s="57" t="s">
        <v>101</v>
      </c>
      <c r="T513" s="9">
        <v>14.07985767025</v>
      </c>
      <c r="U513" s="57" t="s">
        <v>34</v>
      </c>
      <c r="V513" s="9">
        <v>10.91</v>
      </c>
      <c r="W513" s="242" t="s">
        <v>295</v>
      </c>
      <c r="X513" s="9">
        <v>130.1666336344</v>
      </c>
      <c r="Y513" s="242" t="s">
        <v>295</v>
      </c>
      <c r="Z513" s="9">
        <v>48.209864309037037</v>
      </c>
      <c r="AA513" s="57" t="s">
        <v>101</v>
      </c>
      <c r="AB513" s="57" t="s">
        <v>295</v>
      </c>
      <c r="AC513" s="9">
        <v>20.709427305122301</v>
      </c>
      <c r="AD513" s="242" t="s">
        <v>34</v>
      </c>
      <c r="AE513" s="242" t="s">
        <v>295</v>
      </c>
      <c r="AF513" s="9">
        <v>20.271159040107936</v>
      </c>
      <c r="AG513" s="57" t="s">
        <v>101</v>
      </c>
      <c r="AH513" s="74" t="s">
        <v>132</v>
      </c>
      <c r="AI513" s="9">
        <v>19.251970096664333</v>
      </c>
      <c r="AJ513" s="57" t="s">
        <v>34</v>
      </c>
      <c r="AK513" s="291" t="s">
        <v>132</v>
      </c>
      <c r="AL513" s="9">
        <v>18.68144128818923</v>
      </c>
      <c r="AM513" s="57" t="s">
        <v>101</v>
      </c>
      <c r="AN513" s="15" t="s">
        <v>120</v>
      </c>
      <c r="AO513" s="9">
        <v>15.97278749045082</v>
      </c>
      <c r="AP513" s="60"/>
      <c r="AQ513" s="57" t="s">
        <v>101</v>
      </c>
      <c r="AR513" s="9">
        <v>23.388883163296001</v>
      </c>
      <c r="AS513" s="57" t="s">
        <v>101</v>
      </c>
      <c r="AT513" s="9">
        <v>5.8472207908240001</v>
      </c>
      <c r="AU513" s="242" t="s">
        <v>34</v>
      </c>
      <c r="AV513" s="9">
        <v>3.3333333333333002</v>
      </c>
      <c r="AW513" s="57" t="s">
        <v>295</v>
      </c>
      <c r="AX513" s="9">
        <v>168.91662372472001</v>
      </c>
      <c r="AY513" s="242" t="s">
        <v>295</v>
      </c>
      <c r="AZ513" s="9">
        <v>2.5987172880726157</v>
      </c>
      <c r="BA513" s="242" t="s">
        <v>101</v>
      </c>
      <c r="BB513" s="242" t="s">
        <v>295</v>
      </c>
      <c r="BC513" s="9">
        <v>13.041459155554705</v>
      </c>
      <c r="BD513" s="242" t="s">
        <v>34</v>
      </c>
      <c r="BE513" s="242" t="s">
        <v>295</v>
      </c>
      <c r="BF513" s="9">
        <v>12.106365561240587</v>
      </c>
      <c r="BG513" s="242" t="s">
        <v>101</v>
      </c>
      <c r="BH513" s="74" t="s">
        <v>132</v>
      </c>
      <c r="BI513" s="9">
        <v>11.491227545721156</v>
      </c>
      <c r="BJ513" s="57" t="s">
        <v>34</v>
      </c>
      <c r="BK513" s="291" t="s">
        <v>132</v>
      </c>
      <c r="BL513" s="9">
        <v>10.385093969383405</v>
      </c>
      <c r="BM513" s="57" t="s">
        <v>101</v>
      </c>
      <c r="BN513" s="64" t="s">
        <v>120</v>
      </c>
      <c r="BO513" s="9">
        <v>9.2153952267451729</v>
      </c>
    </row>
    <row r="514" spans="1:67" x14ac:dyDescent="0.45">
      <c r="A514" s="10">
        <v>482</v>
      </c>
      <c r="B514" s="10" t="s">
        <v>488</v>
      </c>
      <c r="C514" s="242" t="s">
        <v>1925</v>
      </c>
      <c r="D514" s="65"/>
      <c r="E514" s="289" t="s">
        <v>2239</v>
      </c>
      <c r="F514" s="58" t="s">
        <v>2170</v>
      </c>
      <c r="G514" s="242"/>
      <c r="H514" s="10"/>
      <c r="I514" s="62">
        <v>225.23550285000002</v>
      </c>
      <c r="J514" s="62">
        <v>131.18980166</v>
      </c>
      <c r="K514" s="62">
        <v>154.89880196000001</v>
      </c>
      <c r="L514" s="49">
        <v>3210.7827021028679</v>
      </c>
      <c r="M514" s="49">
        <v>2756.7030567204574</v>
      </c>
      <c r="N514" s="49">
        <v>2440.1315845989284</v>
      </c>
      <c r="O514" s="61">
        <v>17.964397377595802</v>
      </c>
      <c r="P514" s="60"/>
      <c r="Q514" s="57" t="s">
        <v>101</v>
      </c>
      <c r="R514" s="9">
        <v>28.028260341999999</v>
      </c>
      <c r="S514" s="57" t="s">
        <v>101</v>
      </c>
      <c r="T514" s="9">
        <v>17.517662713749999</v>
      </c>
      <c r="U514" s="57" t="s">
        <v>34</v>
      </c>
      <c r="V514" s="9">
        <v>10.91</v>
      </c>
      <c r="W514" s="242" t="s">
        <v>295</v>
      </c>
      <c r="X514" s="9">
        <v>163.169562052</v>
      </c>
      <c r="Y514" s="242" t="s">
        <v>295</v>
      </c>
      <c r="Z514" s="9">
        <v>60.433171130370368</v>
      </c>
      <c r="AA514" s="57" t="s">
        <v>101</v>
      </c>
      <c r="AB514" s="57" t="s">
        <v>295</v>
      </c>
      <c r="AC514" s="9">
        <v>25.853768665179857</v>
      </c>
      <c r="AD514" s="242" t="s">
        <v>34</v>
      </c>
      <c r="AE514" s="242" t="s">
        <v>295</v>
      </c>
      <c r="AF514" s="9">
        <v>25.247791103079361</v>
      </c>
      <c r="AG514" s="57" t="s">
        <v>101</v>
      </c>
      <c r="AH514" s="70" t="s">
        <v>19</v>
      </c>
      <c r="AI514" s="9">
        <v>23.043030804480519</v>
      </c>
      <c r="AJ514" s="57" t="s">
        <v>34</v>
      </c>
      <c r="AK514" s="75" t="s">
        <v>19</v>
      </c>
      <c r="AL514" s="9">
        <v>22.242372896581557</v>
      </c>
      <c r="AM514" s="57" t="s">
        <v>101</v>
      </c>
      <c r="AN514" s="15" t="s">
        <v>120</v>
      </c>
      <c r="AO514" s="9">
        <v>19.917809671516395</v>
      </c>
      <c r="AP514" s="60"/>
      <c r="AQ514" s="57" t="s">
        <v>101</v>
      </c>
      <c r="AR514" s="9">
        <v>29.109390755680003</v>
      </c>
      <c r="AS514" s="57" t="s">
        <v>101</v>
      </c>
      <c r="AT514" s="9">
        <v>7.2773476889200008</v>
      </c>
      <c r="AU514" s="242" t="s">
        <v>34</v>
      </c>
      <c r="AV514" s="9">
        <v>3.3333333333333002</v>
      </c>
      <c r="AW514" s="57" t="s">
        <v>295</v>
      </c>
      <c r="AX514" s="9">
        <v>211.82043066760002</v>
      </c>
      <c r="AY514" s="242" t="s">
        <v>295</v>
      </c>
      <c r="AZ514" s="9">
        <v>3.2587758564246156</v>
      </c>
      <c r="BA514" s="242" t="s">
        <v>101</v>
      </c>
      <c r="BB514" s="242" t="s">
        <v>295</v>
      </c>
      <c r="BC514" s="9">
        <v>16.301307232097059</v>
      </c>
      <c r="BD514" s="242" t="s">
        <v>34</v>
      </c>
      <c r="BE514" s="242" t="s">
        <v>295</v>
      </c>
      <c r="BF514" s="9">
        <v>15.106143932856586</v>
      </c>
      <c r="BG514" s="242" t="s">
        <v>101</v>
      </c>
      <c r="BH514" s="70" t="s">
        <v>19</v>
      </c>
      <c r="BI514" s="9">
        <v>14.458804071013255</v>
      </c>
      <c r="BJ514" s="57" t="s">
        <v>34</v>
      </c>
      <c r="BK514" s="75" t="s">
        <v>19</v>
      </c>
      <c r="BL514" s="9">
        <v>13.056074824648801</v>
      </c>
      <c r="BM514" s="57" t="s">
        <v>101</v>
      </c>
      <c r="BN514" s="64" t="s">
        <v>120</v>
      </c>
      <c r="BO514" s="9">
        <v>11.496201055605173</v>
      </c>
    </row>
    <row r="515" spans="1:67" x14ac:dyDescent="0.45">
      <c r="A515" s="10">
        <v>483</v>
      </c>
      <c r="B515" s="10" t="s">
        <v>485</v>
      </c>
      <c r="C515" s="59" t="s">
        <v>2187</v>
      </c>
      <c r="D515" s="65"/>
      <c r="E515" s="58" t="s">
        <v>2286</v>
      </c>
      <c r="F515" s="64" t="s">
        <v>2358</v>
      </c>
      <c r="G515" s="63" t="s">
        <v>2106</v>
      </c>
      <c r="H515" s="10"/>
      <c r="I515" s="62">
        <v>229.18700290000001</v>
      </c>
      <c r="J515" s="62">
        <v>178.60780226</v>
      </c>
      <c r="K515" s="62">
        <v>173.86600220000003</v>
      </c>
      <c r="L515" s="49">
        <v>4038.7552238216604</v>
      </c>
      <c r="M515" s="49">
        <v>3700.014165630716</v>
      </c>
      <c r="N515" s="49">
        <v>3449.5946848179433</v>
      </c>
      <c r="O515" s="61">
        <v>26.34788644800086</v>
      </c>
      <c r="P515" s="60"/>
      <c r="Q515" s="53" t="s">
        <v>56</v>
      </c>
      <c r="R515" s="9">
        <v>12.000976139200001</v>
      </c>
      <c r="S515" s="66" t="s">
        <v>254</v>
      </c>
      <c r="T515" s="9">
        <v>18.501464208800002</v>
      </c>
      <c r="U515" s="53" t="s">
        <v>56</v>
      </c>
      <c r="V515" s="9">
        <v>10</v>
      </c>
      <c r="W515" s="78" t="s">
        <v>1503</v>
      </c>
      <c r="X515" s="9">
        <v>207.26830261000001</v>
      </c>
      <c r="Y515" s="78" t="s">
        <v>1503</v>
      </c>
      <c r="Z515" s="9">
        <v>57.574528502777781</v>
      </c>
      <c r="AA515" s="53" t="s">
        <v>56</v>
      </c>
      <c r="AB515" s="66" t="s">
        <v>1503</v>
      </c>
      <c r="AC515" s="9">
        <v>27.466875510496454</v>
      </c>
      <c r="AD515" s="78" t="s">
        <v>254</v>
      </c>
      <c r="AE515" s="78" t="s">
        <v>1503</v>
      </c>
      <c r="AF515" s="9">
        <v>27.238298460869565</v>
      </c>
      <c r="AG515" s="53" t="s">
        <v>56</v>
      </c>
      <c r="AH515" s="53" t="s">
        <v>184</v>
      </c>
      <c r="AI515" s="9">
        <v>24.525881040745343</v>
      </c>
      <c r="AJ515" s="66" t="s">
        <v>254</v>
      </c>
      <c r="AK515" s="59" t="s">
        <v>184</v>
      </c>
      <c r="AL515" s="9">
        <v>24.434536484539876</v>
      </c>
      <c r="AM515" s="66" t="s">
        <v>254</v>
      </c>
      <c r="AN515" s="51" t="s">
        <v>222</v>
      </c>
      <c r="AO515" s="9">
        <v>23.279315708724834</v>
      </c>
      <c r="AP515" s="60"/>
      <c r="AQ515" s="53" t="s">
        <v>56</v>
      </c>
      <c r="AR515" s="9">
        <v>9.9382931131000003</v>
      </c>
      <c r="AS515" s="66" t="s">
        <v>254</v>
      </c>
      <c r="AT515" s="9">
        <v>8.1506344904799999</v>
      </c>
      <c r="AU515" s="59" t="s">
        <v>2522</v>
      </c>
      <c r="AV515" s="9">
        <v>3</v>
      </c>
      <c r="AW515" s="66" t="s">
        <v>1503</v>
      </c>
      <c r="AX515" s="9">
        <v>269.14879339300001</v>
      </c>
      <c r="AY515" s="78" t="s">
        <v>1503</v>
      </c>
      <c r="AZ515" s="9">
        <v>4.1407506675846157</v>
      </c>
      <c r="BA515" s="78" t="s">
        <v>254</v>
      </c>
      <c r="BB515" s="78" t="s">
        <v>1503</v>
      </c>
      <c r="BC515" s="9">
        <v>19.665259147944116</v>
      </c>
      <c r="BD515" s="59" t="s">
        <v>56</v>
      </c>
      <c r="BE515" s="78" t="s">
        <v>1503</v>
      </c>
      <c r="BF515" s="9">
        <v>16.624130975805148</v>
      </c>
      <c r="BG515" s="78" t="s">
        <v>254</v>
      </c>
      <c r="BH515" s="51" t="s">
        <v>222</v>
      </c>
      <c r="BI515" s="9">
        <v>14.904011509266669</v>
      </c>
      <c r="BJ515" s="66" t="s">
        <v>254</v>
      </c>
      <c r="BK515" s="59" t="s">
        <v>184</v>
      </c>
      <c r="BL515" s="9">
        <v>14.829057269324528</v>
      </c>
      <c r="BM515" s="53" t="s">
        <v>56</v>
      </c>
      <c r="BN515" s="290" t="s">
        <v>222</v>
      </c>
      <c r="BO515" s="9">
        <v>11.874023000761905</v>
      </c>
    </row>
    <row r="516" spans="1:67" x14ac:dyDescent="0.45">
      <c r="A516" s="10">
        <v>484</v>
      </c>
      <c r="B516" s="10" t="s">
        <v>482</v>
      </c>
      <c r="C516" s="288" t="s">
        <v>2158</v>
      </c>
      <c r="D516" s="65"/>
      <c r="E516" s="78" t="s">
        <v>2312</v>
      </c>
      <c r="F516" s="59" t="s">
        <v>1886</v>
      </c>
      <c r="G516" s="75" t="s">
        <v>2313</v>
      </c>
      <c r="H516" s="10"/>
      <c r="I516" s="62">
        <v>233.13850295</v>
      </c>
      <c r="J516" s="62">
        <v>181.76900230000001</v>
      </c>
      <c r="K516" s="62">
        <v>161.22120204000001</v>
      </c>
      <c r="L516" s="49">
        <v>3991.0300022364704</v>
      </c>
      <c r="M516" s="49">
        <v>3600.5649913624266</v>
      </c>
      <c r="N516" s="49">
        <v>3315.882891774882</v>
      </c>
      <c r="O516" s="61">
        <v>24.797584796506833</v>
      </c>
      <c r="P516" s="60"/>
      <c r="Q516" s="66" t="s">
        <v>88</v>
      </c>
      <c r="R516" s="9">
        <v>21.9824652655</v>
      </c>
      <c r="S516" s="66" t="s">
        <v>88</v>
      </c>
      <c r="T516" s="9">
        <v>19.984059332272725</v>
      </c>
      <c r="U516" s="66" t="s">
        <v>88</v>
      </c>
      <c r="V516" s="9">
        <v>8.1820000000000004</v>
      </c>
      <c r="W516" s="78" t="s">
        <v>1503</v>
      </c>
      <c r="X516" s="9">
        <v>210.82465265499999</v>
      </c>
      <c r="Y516" s="78" t="s">
        <v>1503</v>
      </c>
      <c r="Z516" s="9">
        <v>58.562403515277772</v>
      </c>
      <c r="AA516" s="66" t="s">
        <v>88</v>
      </c>
      <c r="AB516" s="66" t="s">
        <v>1503</v>
      </c>
      <c r="AC516" s="9">
        <v>28.250847371488092</v>
      </c>
      <c r="AD516" s="78" t="s">
        <v>254</v>
      </c>
      <c r="AE516" s="78" t="s">
        <v>1503</v>
      </c>
      <c r="AF516" s="9">
        <v>27.680081075155275</v>
      </c>
      <c r="AG516" s="66" t="s">
        <v>88</v>
      </c>
      <c r="AH516" s="73" t="s">
        <v>197</v>
      </c>
      <c r="AI516" s="9">
        <v>27.068946393151517</v>
      </c>
      <c r="AJ516" s="66" t="s">
        <v>254</v>
      </c>
      <c r="AK516" s="288" t="s">
        <v>197</v>
      </c>
      <c r="AL516" s="9">
        <v>26.43498006050633</v>
      </c>
      <c r="AM516" s="66" t="s">
        <v>88</v>
      </c>
      <c r="AN516" s="70" t="s">
        <v>19</v>
      </c>
      <c r="AO516" s="9">
        <v>24.596927313275859</v>
      </c>
      <c r="AP516" s="60"/>
      <c r="AQ516" s="66" t="s">
        <v>88</v>
      </c>
      <c r="AR516" s="9">
        <v>17.366322907090002</v>
      </c>
      <c r="AS516" s="66" t="s">
        <v>254</v>
      </c>
      <c r="AT516" s="9">
        <v>8.2739212920400007</v>
      </c>
      <c r="AU516" s="78" t="s">
        <v>88</v>
      </c>
      <c r="AV516" s="9">
        <v>3.3333333333333002</v>
      </c>
      <c r="AW516" s="66" t="s">
        <v>1503</v>
      </c>
      <c r="AX516" s="9">
        <v>273.77204845150004</v>
      </c>
      <c r="AY516" s="78" t="s">
        <v>1503</v>
      </c>
      <c r="AZ516" s="9">
        <v>4.2118776684846164</v>
      </c>
      <c r="BA516" s="78" t="s">
        <v>254</v>
      </c>
      <c r="BB516" s="78" t="s">
        <v>1503</v>
      </c>
      <c r="BC516" s="9">
        <v>19.987073960839705</v>
      </c>
      <c r="BD516" s="78" t="s">
        <v>88</v>
      </c>
      <c r="BE516" s="78" t="s">
        <v>1503</v>
      </c>
      <c r="BF516" s="9">
        <v>18.861129138906588</v>
      </c>
      <c r="BG516" s="78" t="s">
        <v>254</v>
      </c>
      <c r="BH516" s="73" t="s">
        <v>197</v>
      </c>
      <c r="BI516" s="9">
        <v>17.086556703550002</v>
      </c>
      <c r="BJ516" s="66" t="s">
        <v>254</v>
      </c>
      <c r="BK516" s="75" t="s">
        <v>19</v>
      </c>
      <c r="BL516" s="9">
        <v>15.67929899297229</v>
      </c>
      <c r="BM516" s="66" t="s">
        <v>88</v>
      </c>
      <c r="BN516" s="288" t="s">
        <v>197</v>
      </c>
      <c r="BO516" s="9">
        <v>15.644675055084043</v>
      </c>
    </row>
    <row r="517" spans="1:67" x14ac:dyDescent="0.45">
      <c r="A517" s="10">
        <v>485</v>
      </c>
      <c r="B517" s="10" t="s">
        <v>479</v>
      </c>
      <c r="C517" s="59" t="s">
        <v>2188</v>
      </c>
      <c r="D517" s="80" t="s">
        <v>1892</v>
      </c>
      <c r="E517" s="58" t="s">
        <v>2120</v>
      </c>
      <c r="F517" s="64" t="s">
        <v>2359</v>
      </c>
      <c r="G517" s="63" t="s">
        <v>2360</v>
      </c>
      <c r="H517" s="10"/>
      <c r="I517" s="62">
        <v>210.21980266000003</v>
      </c>
      <c r="J517" s="62">
        <v>180.18840228000002</v>
      </c>
      <c r="K517" s="62">
        <v>177.02720224000001</v>
      </c>
      <c r="L517" s="49">
        <v>3754.5426679456455</v>
      </c>
      <c r="M517" s="49">
        <v>3555.988186504158</v>
      </c>
      <c r="N517" s="49">
        <v>3404.7319156556973</v>
      </c>
      <c r="O517" s="61">
        <v>27.028098793463801</v>
      </c>
      <c r="P517" s="60"/>
      <c r="Q517" s="70" t="s">
        <v>36</v>
      </c>
      <c r="R517" s="9">
        <v>18.658463423440001</v>
      </c>
      <c r="S517" s="70" t="s">
        <v>36</v>
      </c>
      <c r="T517" s="9">
        <v>16.962239475854545</v>
      </c>
      <c r="U517" s="69" t="s">
        <v>38</v>
      </c>
      <c r="V517" s="9">
        <v>12</v>
      </c>
      <c r="W517" s="75" t="s">
        <v>19</v>
      </c>
      <c r="X517" s="9">
        <v>177.58463423440003</v>
      </c>
      <c r="Y517" s="56" t="s">
        <v>87</v>
      </c>
      <c r="Z517" s="9">
        <v>46.134739708695662</v>
      </c>
      <c r="AA517" s="70" t="s">
        <v>36</v>
      </c>
      <c r="AB517" s="70" t="s">
        <v>19</v>
      </c>
      <c r="AC517" s="9">
        <v>23.958504504526317</v>
      </c>
      <c r="AD517" s="75" t="s">
        <v>36</v>
      </c>
      <c r="AE517" s="75" t="s">
        <v>76</v>
      </c>
      <c r="AF517" s="9">
        <v>23.712290160311689</v>
      </c>
      <c r="AG517" s="70" t="s">
        <v>36</v>
      </c>
      <c r="AH517" s="53" t="s">
        <v>184</v>
      </c>
      <c r="AI517" s="9">
        <v>22.969114334432433</v>
      </c>
      <c r="AJ517" s="69" t="s">
        <v>38</v>
      </c>
      <c r="AK517" s="75" t="s">
        <v>19</v>
      </c>
      <c r="AL517" s="9">
        <v>22.35653939881103</v>
      </c>
      <c r="AM517" s="69" t="s">
        <v>38</v>
      </c>
      <c r="AN517" s="70" t="s">
        <v>76</v>
      </c>
      <c r="AO517" s="9">
        <v>22.21279204262304</v>
      </c>
      <c r="AP517" s="60"/>
      <c r="AQ517" s="70" t="s">
        <v>36</v>
      </c>
      <c r="AR517" s="9">
        <v>15.757430146732002</v>
      </c>
      <c r="AS517" s="70" t="s">
        <v>36</v>
      </c>
      <c r="AT517" s="9">
        <v>5.252476715577334</v>
      </c>
      <c r="AU517" s="75" t="s">
        <v>36</v>
      </c>
      <c r="AV517" s="9">
        <v>3.3333333333333002</v>
      </c>
      <c r="AW517" s="70" t="s">
        <v>19</v>
      </c>
      <c r="AX517" s="9">
        <v>230.56002450472005</v>
      </c>
      <c r="AY517" s="75" t="s">
        <v>19</v>
      </c>
      <c r="AZ517" s="9">
        <v>2.8820003063090005</v>
      </c>
      <c r="BA517" s="75" t="s">
        <v>36</v>
      </c>
      <c r="BB517" s="75" t="s">
        <v>19</v>
      </c>
      <c r="BC517" s="9">
        <v>14.264778627143041</v>
      </c>
      <c r="BD517" s="75" t="s">
        <v>36</v>
      </c>
      <c r="BE517" s="75" t="s">
        <v>76</v>
      </c>
      <c r="BF517" s="9">
        <v>13.442295272819774</v>
      </c>
      <c r="BG517" s="289" t="s">
        <v>38</v>
      </c>
      <c r="BH517" s="70" t="s">
        <v>19</v>
      </c>
      <c r="BI517" s="9">
        <v>13.248469465828434</v>
      </c>
      <c r="BJ517" s="70" t="s">
        <v>36</v>
      </c>
      <c r="BK517" s="56" t="s">
        <v>87</v>
      </c>
      <c r="BL517" s="9">
        <v>12.817642144915775</v>
      </c>
      <c r="BM517" s="69" t="s">
        <v>38</v>
      </c>
      <c r="BN517" s="75" t="s">
        <v>76</v>
      </c>
      <c r="BO517" s="9">
        <v>12.520407633703623</v>
      </c>
    </row>
    <row r="518" spans="1:67" x14ac:dyDescent="0.45">
      <c r="A518" s="10">
        <v>486</v>
      </c>
      <c r="B518" s="10" t="s">
        <v>294</v>
      </c>
      <c r="C518" s="64" t="s">
        <v>1889</v>
      </c>
      <c r="D518" s="65"/>
      <c r="E518" s="58" t="s">
        <v>1903</v>
      </c>
      <c r="F518" s="77"/>
      <c r="G518" s="77" t="s">
        <v>1888</v>
      </c>
      <c r="H518" s="10"/>
      <c r="I518" s="62">
        <v>238.67060302000002</v>
      </c>
      <c r="J518" s="62">
        <v>177.81750225000002</v>
      </c>
      <c r="K518" s="62">
        <v>186.51080236000001</v>
      </c>
      <c r="L518" s="49">
        <v>4346.4849317587805</v>
      </c>
      <c r="M518" s="49">
        <v>3971.7778628779365</v>
      </c>
      <c r="N518" s="49">
        <v>3695.4077809807372</v>
      </c>
      <c r="O518" s="61">
        <v>28.157914918859078</v>
      </c>
      <c r="P518" s="60"/>
      <c r="Q518" s="71" t="s">
        <v>2808</v>
      </c>
      <c r="R518" s="9">
        <v>18.900295226500003</v>
      </c>
      <c r="S518" s="57" t="s">
        <v>95</v>
      </c>
      <c r="T518" s="9">
        <v>13.927487437454545</v>
      </c>
      <c r="U518" s="71" t="s">
        <v>2808</v>
      </c>
      <c r="V518" s="9">
        <v>10</v>
      </c>
      <c r="W518" s="64" t="s">
        <v>1498</v>
      </c>
      <c r="X518" s="9">
        <v>287.40472362399998</v>
      </c>
      <c r="Y518" s="64" t="s">
        <v>1498</v>
      </c>
      <c r="Z518" s="9">
        <v>61.149941196595741</v>
      </c>
      <c r="AA518" s="57" t="s">
        <v>95</v>
      </c>
      <c r="AB518" s="15" t="s">
        <v>1498</v>
      </c>
      <c r="AC518" s="9">
        <v>28.06414556917197</v>
      </c>
      <c r="AD518" s="80" t="s">
        <v>1518</v>
      </c>
      <c r="AE518" s="64" t="s">
        <v>1498</v>
      </c>
      <c r="AF518" s="9">
        <v>27.612288829572371</v>
      </c>
      <c r="AG518" s="52" t="s">
        <v>1500</v>
      </c>
      <c r="AH518" s="15" t="s">
        <v>1498</v>
      </c>
      <c r="AI518" s="9">
        <v>27.612288829572371</v>
      </c>
      <c r="AJ518" s="67" t="s">
        <v>1502</v>
      </c>
      <c r="AK518" s="64" t="s">
        <v>1498</v>
      </c>
      <c r="AL518" s="9">
        <v>27.612288829572371</v>
      </c>
      <c r="AM518" s="54" t="s">
        <v>1521</v>
      </c>
      <c r="AN518" s="15" t="s">
        <v>1498</v>
      </c>
      <c r="AO518" s="9">
        <v>27.612288829572371</v>
      </c>
      <c r="AP518" s="60"/>
      <c r="AQ518" s="71" t="s">
        <v>2808</v>
      </c>
      <c r="AR518" s="9">
        <v>14.962230276670001</v>
      </c>
      <c r="AS518" s="71" t="s">
        <v>2808</v>
      </c>
      <c r="AT518" s="9">
        <v>4.9874100922233335</v>
      </c>
      <c r="AU518" s="80" t="s">
        <v>2474</v>
      </c>
      <c r="AV518" s="9">
        <v>2.6666666666666998</v>
      </c>
      <c r="AW518" s="15" t="s">
        <v>1498</v>
      </c>
      <c r="AX518" s="9">
        <v>280.24460553340003</v>
      </c>
      <c r="AY518" s="64" t="s">
        <v>1498</v>
      </c>
      <c r="AZ518" s="9">
        <v>3.5030575691675003</v>
      </c>
      <c r="BA518" s="80" t="s">
        <v>1518</v>
      </c>
      <c r="BB518" s="64" t="s">
        <v>1498</v>
      </c>
      <c r="BC518" s="9">
        <v>13.866674461293549</v>
      </c>
      <c r="BD518" s="56" t="s">
        <v>1500</v>
      </c>
      <c r="BE518" s="64" t="s">
        <v>1498</v>
      </c>
      <c r="BF518" s="9">
        <v>13.866674461293549</v>
      </c>
      <c r="BG518" s="76" t="s">
        <v>1502</v>
      </c>
      <c r="BH518" s="15" t="s">
        <v>1498</v>
      </c>
      <c r="BI518" s="9">
        <v>13.866674461293549</v>
      </c>
      <c r="BJ518" s="54" t="s">
        <v>1521</v>
      </c>
      <c r="BK518" s="64" t="s">
        <v>1498</v>
      </c>
      <c r="BL518" s="9">
        <v>13.866674461293549</v>
      </c>
      <c r="BM518" s="73" t="s">
        <v>1499</v>
      </c>
      <c r="BN518" s="64" t="s">
        <v>1498</v>
      </c>
      <c r="BO518" s="9">
        <v>13.866674461293549</v>
      </c>
    </row>
    <row r="519" spans="1:67" x14ac:dyDescent="0.45">
      <c r="A519" s="10">
        <v>487</v>
      </c>
      <c r="B519" s="10" t="s">
        <v>263</v>
      </c>
      <c r="C519" s="77" t="s">
        <v>2189</v>
      </c>
      <c r="D519" s="65"/>
      <c r="E519" s="77" t="s">
        <v>2361</v>
      </c>
      <c r="F519" s="63" t="s">
        <v>2362</v>
      </c>
      <c r="G519" s="64" t="s">
        <v>2295</v>
      </c>
      <c r="H519" s="10"/>
      <c r="I519" s="62">
        <v>159.64060202000002</v>
      </c>
      <c r="J519" s="62">
        <v>189.67200240000003</v>
      </c>
      <c r="K519" s="62">
        <v>236.29970299000001</v>
      </c>
      <c r="L519" s="49">
        <v>3379.6876080028173</v>
      </c>
      <c r="M519" s="49">
        <v>3713.1273210119166</v>
      </c>
      <c r="N519" s="49">
        <v>4003.4136598659256</v>
      </c>
      <c r="O519" s="61">
        <v>37.67377709336818</v>
      </c>
      <c r="P519" s="60"/>
      <c r="Q519" s="68" t="s">
        <v>49</v>
      </c>
      <c r="R519" s="9">
        <v>9.6205925090799997</v>
      </c>
      <c r="S519" s="68" t="s">
        <v>49</v>
      </c>
      <c r="T519" s="9">
        <v>13.7437035844</v>
      </c>
      <c r="U519" s="68" t="s">
        <v>49</v>
      </c>
      <c r="V519" s="9">
        <v>8.5709999999999997</v>
      </c>
      <c r="W519" s="56" t="s">
        <v>282</v>
      </c>
      <c r="X519" s="9">
        <v>56.874210707000003</v>
      </c>
      <c r="Y519" s="78" t="s">
        <v>262</v>
      </c>
      <c r="Z519" s="9">
        <v>28.760106238823532</v>
      </c>
      <c r="AA519" s="68" t="s">
        <v>49</v>
      </c>
      <c r="AB519" s="66" t="s">
        <v>262</v>
      </c>
      <c r="AC519" s="9">
        <v>18.311317115467197</v>
      </c>
      <c r="AD519" s="78" t="s">
        <v>254</v>
      </c>
      <c r="AE519" s="78" t="s">
        <v>262</v>
      </c>
      <c r="AF519" s="9">
        <v>17.917788842954543</v>
      </c>
      <c r="AG519" s="68" t="s">
        <v>49</v>
      </c>
      <c r="AH519" s="68" t="s">
        <v>151</v>
      </c>
      <c r="AI519" s="9">
        <v>15.074619491129297</v>
      </c>
      <c r="AJ519" s="68" t="s">
        <v>49</v>
      </c>
      <c r="AK519" s="56" t="s">
        <v>282</v>
      </c>
      <c r="AL519" s="9">
        <v>14.930789801759397</v>
      </c>
      <c r="AM519" s="66" t="s">
        <v>254</v>
      </c>
      <c r="AN519" s="68" t="s">
        <v>151</v>
      </c>
      <c r="AO519" s="9">
        <v>14.875145454528303</v>
      </c>
      <c r="AP519" s="60"/>
      <c r="AQ519" s="68" t="s">
        <v>49</v>
      </c>
      <c r="AR519" s="9">
        <v>8.4711801745360003</v>
      </c>
      <c r="AS519" s="66" t="s">
        <v>254</v>
      </c>
      <c r="AT519" s="9">
        <v>5.9807867830240005</v>
      </c>
      <c r="AU519" s="77" t="s">
        <v>49</v>
      </c>
      <c r="AV519" s="9">
        <v>4</v>
      </c>
      <c r="AW519" s="52" t="s">
        <v>282</v>
      </c>
      <c r="AX519" s="9">
        <v>73.636473919100013</v>
      </c>
      <c r="AY519" s="78" t="s">
        <v>262</v>
      </c>
      <c r="AZ519" s="9">
        <v>1.8074238510800003</v>
      </c>
      <c r="BA519" s="78" t="s">
        <v>254</v>
      </c>
      <c r="BB519" s="78" t="s">
        <v>262</v>
      </c>
      <c r="BC519" s="9">
        <v>10.502816888664212</v>
      </c>
      <c r="BD519" s="77" t="s">
        <v>49</v>
      </c>
      <c r="BE519" s="78" t="s">
        <v>262</v>
      </c>
      <c r="BF519" s="9">
        <v>10.289358774502054</v>
      </c>
      <c r="BG519" s="78" t="s">
        <v>254</v>
      </c>
      <c r="BH519" s="52" t="s">
        <v>282</v>
      </c>
      <c r="BI519" s="9">
        <v>10.209267229028752</v>
      </c>
      <c r="BJ519" s="68" t="s">
        <v>49</v>
      </c>
      <c r="BK519" s="56" t="s">
        <v>282</v>
      </c>
      <c r="BL519" s="9">
        <v>9.9009683592542874</v>
      </c>
      <c r="BM519" s="66" t="s">
        <v>254</v>
      </c>
      <c r="BN519" s="77" t="s">
        <v>151</v>
      </c>
      <c r="BO519" s="9">
        <v>9.5607272833225014</v>
      </c>
    </row>
    <row r="520" spans="1:67" x14ac:dyDescent="0.45">
      <c r="A520" s="10">
        <v>487</v>
      </c>
      <c r="B520" s="10" t="s">
        <v>475</v>
      </c>
      <c r="C520" s="77" t="s">
        <v>2189</v>
      </c>
      <c r="D520" s="65"/>
      <c r="E520" s="77" t="s">
        <v>2361</v>
      </c>
      <c r="F520" s="63" t="s">
        <v>2362</v>
      </c>
      <c r="G520" s="64" t="s">
        <v>2295</v>
      </c>
      <c r="H520" s="10"/>
      <c r="I520" s="62">
        <v>189.67200240000003</v>
      </c>
      <c r="J520" s="62">
        <v>159.64060202000002</v>
      </c>
      <c r="K520" s="62">
        <v>236.29970299000001</v>
      </c>
      <c r="L520" s="49">
        <v>3683.8886569570482</v>
      </c>
      <c r="M520" s="49">
        <v>3713.1273210119166</v>
      </c>
      <c r="N520" s="49">
        <v>3736.685250436391</v>
      </c>
      <c r="O520" s="61">
        <v>32.529929339107596</v>
      </c>
      <c r="P520" s="60"/>
      <c r="Q520" s="66" t="s">
        <v>88</v>
      </c>
      <c r="R520" s="9">
        <v>18.070480216</v>
      </c>
      <c r="S520" s="66" t="s">
        <v>88</v>
      </c>
      <c r="T520" s="9">
        <v>16.427709287272727</v>
      </c>
      <c r="U520" s="68" t="s">
        <v>49</v>
      </c>
      <c r="V520" s="9">
        <v>8.5709999999999997</v>
      </c>
      <c r="W520" s="77" t="s">
        <v>73</v>
      </c>
      <c r="X520" s="9">
        <v>114.80320144000001</v>
      </c>
      <c r="Y520" s="77" t="s">
        <v>73</v>
      </c>
      <c r="Z520" s="9">
        <v>38.267733813333336</v>
      </c>
      <c r="AA520" s="66" t="s">
        <v>88</v>
      </c>
      <c r="AB520" s="68" t="s">
        <v>73</v>
      </c>
      <c r="AC520" s="9">
        <v>23.618936875121953</v>
      </c>
      <c r="AD520" s="77" t="s">
        <v>49</v>
      </c>
      <c r="AE520" s="77" t="s">
        <v>73</v>
      </c>
      <c r="AF520" s="9">
        <v>23.602521039999999</v>
      </c>
      <c r="AG520" s="66" t="s">
        <v>88</v>
      </c>
      <c r="AH520" s="66" t="s">
        <v>253</v>
      </c>
      <c r="AI520" s="9">
        <v>20.9877567787643</v>
      </c>
      <c r="AJ520" s="68" t="s">
        <v>49</v>
      </c>
      <c r="AK520" s="78" t="s">
        <v>253</v>
      </c>
      <c r="AL520" s="9">
        <v>20.89490625893993</v>
      </c>
      <c r="AM520" s="66" t="s">
        <v>88</v>
      </c>
      <c r="AN520" s="68" t="s">
        <v>1486</v>
      </c>
      <c r="AO520" s="9">
        <v>19.583911917722254</v>
      </c>
      <c r="AP520" s="60"/>
      <c r="AQ520" s="66" t="s">
        <v>88</v>
      </c>
      <c r="AR520" s="9">
        <v>14.314974568480002</v>
      </c>
      <c r="AS520" s="68" t="s">
        <v>49</v>
      </c>
      <c r="AT520" s="9">
        <v>4.9383248561600004</v>
      </c>
      <c r="AU520" s="77" t="s">
        <v>49</v>
      </c>
      <c r="AV520" s="9">
        <v>4</v>
      </c>
      <c r="AW520" s="68" t="s">
        <v>73</v>
      </c>
      <c r="AX520" s="9">
        <v>148.94416187200002</v>
      </c>
      <c r="AY520" s="77" t="s">
        <v>73</v>
      </c>
      <c r="AZ520" s="9">
        <v>2.7080756704000004</v>
      </c>
      <c r="BA520" s="77" t="s">
        <v>49</v>
      </c>
      <c r="BB520" s="77" t="s">
        <v>73</v>
      </c>
      <c r="BC520" s="9">
        <v>14.70143245045424</v>
      </c>
      <c r="BD520" s="77" t="s">
        <v>49</v>
      </c>
      <c r="BE520" s="78" t="s">
        <v>253</v>
      </c>
      <c r="BF520" s="9">
        <v>13.014038657950001</v>
      </c>
      <c r="BG520" s="78" t="s">
        <v>88</v>
      </c>
      <c r="BH520" s="68" t="s">
        <v>73</v>
      </c>
      <c r="BI520" s="9">
        <v>13.010086971350859</v>
      </c>
      <c r="BJ520" s="66" t="s">
        <v>88</v>
      </c>
      <c r="BK520" s="78" t="s">
        <v>253</v>
      </c>
      <c r="BL520" s="9">
        <v>11.581031215562106</v>
      </c>
      <c r="BM520" s="68" t="s">
        <v>49</v>
      </c>
      <c r="BN520" s="77" t="s">
        <v>1486</v>
      </c>
      <c r="BO520" s="9">
        <v>11.305029954327274</v>
      </c>
    </row>
    <row r="521" spans="1:67" x14ac:dyDescent="0.45">
      <c r="A521" s="10">
        <v>488</v>
      </c>
      <c r="B521" s="10" t="s">
        <v>470</v>
      </c>
      <c r="C521" s="242" t="s">
        <v>1925</v>
      </c>
      <c r="D521" s="65"/>
      <c r="E521" s="289" t="s">
        <v>2239</v>
      </c>
      <c r="F521" s="58" t="s">
        <v>2170</v>
      </c>
      <c r="G521" s="242"/>
      <c r="H521" s="10"/>
      <c r="I521" s="62">
        <v>131.98010167000001</v>
      </c>
      <c r="J521" s="62">
        <v>215.75190273000001</v>
      </c>
      <c r="K521" s="62">
        <v>217.33250275</v>
      </c>
      <c r="L521" s="49">
        <v>2857.9071597297598</v>
      </c>
      <c r="M521" s="49">
        <v>3370.7394420468395</v>
      </c>
      <c r="N521" s="49">
        <v>3846.5097359627971</v>
      </c>
      <c r="O521" s="61">
        <v>38.568642901642242</v>
      </c>
      <c r="P521" s="60"/>
      <c r="Q521" s="57" t="s">
        <v>101</v>
      </c>
      <c r="R521" s="9">
        <v>16.837612200400002</v>
      </c>
      <c r="S521" s="57" t="s">
        <v>101</v>
      </c>
      <c r="T521" s="9">
        <v>10.523507625250001</v>
      </c>
      <c r="U521" s="57" t="s">
        <v>1497</v>
      </c>
      <c r="V521" s="9">
        <v>13.333</v>
      </c>
      <c r="W521" s="242" t="s">
        <v>295</v>
      </c>
      <c r="X521" s="9">
        <v>96.0256732024</v>
      </c>
      <c r="Y521" s="242" t="s">
        <v>295</v>
      </c>
      <c r="Z521" s="9">
        <v>35.565064149037035</v>
      </c>
      <c r="AA521" s="57" t="s">
        <v>101</v>
      </c>
      <c r="AB521" s="57" t="s">
        <v>295</v>
      </c>
      <c r="AC521" s="9">
        <v>15.387694863683453</v>
      </c>
      <c r="AD521" s="242" t="s">
        <v>1497</v>
      </c>
      <c r="AE521" s="242" t="s">
        <v>295</v>
      </c>
      <c r="AF521" s="9">
        <v>15.285515509876191</v>
      </c>
      <c r="AG521" s="57" t="s">
        <v>101</v>
      </c>
      <c r="AH521" s="14" t="s">
        <v>1496</v>
      </c>
      <c r="AI521" s="9">
        <v>13.553003409821192</v>
      </c>
      <c r="AJ521" s="57" t="s">
        <v>1497</v>
      </c>
      <c r="AK521" s="65" t="s">
        <v>1496</v>
      </c>
      <c r="AL521" s="9">
        <v>12.928145789470086</v>
      </c>
      <c r="AM521" s="57" t="s">
        <v>101</v>
      </c>
      <c r="AN521" s="74" t="s">
        <v>108</v>
      </c>
      <c r="AO521" s="9">
        <v>12.373442551894938</v>
      </c>
      <c r="AP521" s="60"/>
      <c r="AQ521" s="57" t="s">
        <v>101</v>
      </c>
      <c r="AR521" s="9">
        <v>17.471116688416004</v>
      </c>
      <c r="AS521" s="57" t="s">
        <v>101</v>
      </c>
      <c r="AT521" s="9">
        <v>4.3677791721040009</v>
      </c>
      <c r="AU521" s="242" t="s">
        <v>1497</v>
      </c>
      <c r="AV521" s="9">
        <v>4.5</v>
      </c>
      <c r="AW521" s="57" t="s">
        <v>295</v>
      </c>
      <c r="AX521" s="9">
        <v>124.53337516312001</v>
      </c>
      <c r="AY521" s="242" t="s">
        <v>295</v>
      </c>
      <c r="AZ521" s="9">
        <v>1.9158980794326155</v>
      </c>
      <c r="BA521" s="242" t="s">
        <v>1497</v>
      </c>
      <c r="BB521" s="242" t="s">
        <v>295</v>
      </c>
      <c r="BC521" s="9">
        <v>9.9751231014974842</v>
      </c>
      <c r="BD521" s="242" t="s">
        <v>101</v>
      </c>
      <c r="BE521" s="242" t="s">
        <v>295</v>
      </c>
      <c r="BF521" s="9">
        <v>9.6692025246488242</v>
      </c>
      <c r="BG521" s="242" t="s">
        <v>101</v>
      </c>
      <c r="BH521" s="14" t="s">
        <v>1496</v>
      </c>
      <c r="BI521" s="9">
        <v>8.8125219148045222</v>
      </c>
      <c r="BJ521" s="57" t="s">
        <v>1497</v>
      </c>
      <c r="BK521" s="65" t="s">
        <v>1496</v>
      </c>
      <c r="BL521" s="9">
        <v>8.7173965082940281</v>
      </c>
      <c r="BM521" s="57" t="s">
        <v>101</v>
      </c>
      <c r="BN521" s="291" t="s">
        <v>108</v>
      </c>
      <c r="BO521" s="9">
        <v>7.4754874433561911</v>
      </c>
    </row>
    <row r="522" spans="1:67" x14ac:dyDescent="0.45">
      <c r="A522" s="10">
        <v>491</v>
      </c>
      <c r="B522" s="10" t="s">
        <v>290</v>
      </c>
      <c r="C522" s="76" t="s">
        <v>1891</v>
      </c>
      <c r="D522" s="65"/>
      <c r="E522" s="58" t="s">
        <v>2234</v>
      </c>
      <c r="F522" s="77" t="s">
        <v>2167</v>
      </c>
      <c r="G522" s="242" t="s">
        <v>1925</v>
      </c>
      <c r="H522" s="10"/>
      <c r="I522" s="62">
        <v>237.09000300000002</v>
      </c>
      <c r="J522" s="62">
        <v>168.33390213000001</v>
      </c>
      <c r="K522" s="62">
        <v>147.78610187000001</v>
      </c>
      <c r="L522" s="49">
        <v>3739.5197785552591</v>
      </c>
      <c r="M522" s="49">
        <v>3264.4670144306692</v>
      </c>
      <c r="N522" s="49">
        <v>2928.2587166345766</v>
      </c>
      <c r="O522" s="61">
        <v>21.293066274122971</v>
      </c>
      <c r="P522" s="60"/>
      <c r="Q522" s="67" t="s">
        <v>20</v>
      </c>
      <c r="R522" s="9">
        <v>18.070480216</v>
      </c>
      <c r="S522" s="67" t="s">
        <v>14</v>
      </c>
      <c r="T522" s="9">
        <v>16.91711131111111</v>
      </c>
      <c r="U522" s="67" t="s">
        <v>20</v>
      </c>
      <c r="V522" s="9">
        <v>12.727</v>
      </c>
      <c r="W522" s="58" t="s">
        <v>187</v>
      </c>
      <c r="X522" s="9">
        <v>166.96300210000001</v>
      </c>
      <c r="Y522" s="58" t="s">
        <v>187</v>
      </c>
      <c r="Z522" s="9">
        <v>47.703714885714291</v>
      </c>
      <c r="AA522" s="67" t="s">
        <v>20</v>
      </c>
      <c r="AB522" s="68" t="s">
        <v>73</v>
      </c>
      <c r="AC522" s="9">
        <v>26.568598265979382</v>
      </c>
      <c r="AD522" s="76" t="s">
        <v>20</v>
      </c>
      <c r="AE522" s="76" t="s">
        <v>160</v>
      </c>
      <c r="AF522" s="9">
        <v>25.884214752164947</v>
      </c>
      <c r="AG522" s="67" t="s">
        <v>14</v>
      </c>
      <c r="AH522" s="68" t="s">
        <v>73</v>
      </c>
      <c r="AI522" s="9">
        <v>25.516319756944448</v>
      </c>
      <c r="AJ522" s="67" t="s">
        <v>20</v>
      </c>
      <c r="AK522" s="58" t="s">
        <v>187</v>
      </c>
      <c r="AL522" s="9">
        <v>25.327385677073167</v>
      </c>
      <c r="AM522" s="67" t="s">
        <v>14</v>
      </c>
      <c r="AN522" s="67" t="s">
        <v>160</v>
      </c>
      <c r="AO522" s="9">
        <v>24.923594749444447</v>
      </c>
      <c r="AP522" s="60"/>
      <c r="AQ522" s="67" t="s">
        <v>14</v>
      </c>
      <c r="AR522" s="9">
        <v>12.095812140400001</v>
      </c>
      <c r="AS522" s="67" t="s">
        <v>14</v>
      </c>
      <c r="AT522" s="9">
        <v>6.0479060702000007</v>
      </c>
      <c r="AU522" s="76" t="s">
        <v>20</v>
      </c>
      <c r="AV522" s="9">
        <v>4.3333333333333002</v>
      </c>
      <c r="AW522" s="55" t="s">
        <v>187</v>
      </c>
      <c r="AX522" s="9">
        <v>232.16275292500004</v>
      </c>
      <c r="AY522" s="58" t="s">
        <v>187</v>
      </c>
      <c r="AZ522" s="9">
        <v>3.0955033723333338</v>
      </c>
      <c r="BA522" s="76" t="s">
        <v>20</v>
      </c>
      <c r="BB522" s="58" t="s">
        <v>187</v>
      </c>
      <c r="BC522" s="9">
        <v>15.910101036974794</v>
      </c>
      <c r="BD522" s="76" t="s">
        <v>20</v>
      </c>
      <c r="BE522" s="76" t="s">
        <v>160</v>
      </c>
      <c r="BF522" s="9">
        <v>15.022083498073624</v>
      </c>
      <c r="BG522" s="76" t="s">
        <v>14</v>
      </c>
      <c r="BH522" s="55" t="s">
        <v>187</v>
      </c>
      <c r="BI522" s="9">
        <v>14.744630949230771</v>
      </c>
      <c r="BJ522" s="67" t="s">
        <v>20</v>
      </c>
      <c r="BK522" s="77" t="s">
        <v>73</v>
      </c>
      <c r="BL522" s="9">
        <v>14.494205515646069</v>
      </c>
      <c r="BM522" s="67" t="s">
        <v>14</v>
      </c>
      <c r="BN522" s="76" t="s">
        <v>160</v>
      </c>
      <c r="BO522" s="9">
        <v>14.136373379735851</v>
      </c>
    </row>
    <row r="523" spans="1:67" x14ac:dyDescent="0.45">
      <c r="A523" s="10">
        <v>495</v>
      </c>
      <c r="B523" s="10" t="s">
        <v>465</v>
      </c>
      <c r="C523" s="79" t="s">
        <v>1983</v>
      </c>
      <c r="D523" s="65"/>
      <c r="E523" s="63" t="s">
        <v>2265</v>
      </c>
      <c r="F523" s="80" t="s">
        <v>2266</v>
      </c>
      <c r="G523" s="242"/>
      <c r="H523" s="10"/>
      <c r="I523" s="62">
        <v>81.40090103</v>
      </c>
      <c r="J523" s="62">
        <v>96.416601220000004</v>
      </c>
      <c r="K523" s="62">
        <v>113.01290143000001</v>
      </c>
      <c r="L523" s="49">
        <v>849.70687791353134</v>
      </c>
      <c r="M523" s="49">
        <v>923.15091275931991</v>
      </c>
      <c r="N523" s="49">
        <v>986.45109507433131</v>
      </c>
      <c r="O523" s="61">
        <v>9.9381200884471941</v>
      </c>
      <c r="P523" s="60"/>
      <c r="Q523" s="72" t="s">
        <v>24</v>
      </c>
      <c r="R523" s="9">
        <v>4.4188378432599995</v>
      </c>
      <c r="S523" s="72" t="s">
        <v>24</v>
      </c>
      <c r="T523" s="9">
        <v>7.3647297387666661</v>
      </c>
      <c r="U523" s="15" t="s">
        <v>2396</v>
      </c>
      <c r="V523" s="9">
        <v>10</v>
      </c>
      <c r="W523" s="79" t="s">
        <v>33</v>
      </c>
      <c r="X523" s="9">
        <v>44.956486556199998</v>
      </c>
      <c r="Y523" s="79" t="s">
        <v>264</v>
      </c>
      <c r="Z523" s="9">
        <v>13.267760638047617</v>
      </c>
      <c r="AA523" s="72" t="s">
        <v>24</v>
      </c>
      <c r="AB523" s="72" t="s">
        <v>264</v>
      </c>
      <c r="AC523" s="9">
        <v>9.6462692887955015</v>
      </c>
      <c r="AD523" s="79" t="s">
        <v>24</v>
      </c>
      <c r="AE523" s="79" t="s">
        <v>33</v>
      </c>
      <c r="AF523" s="9">
        <v>9.1887792415767784</v>
      </c>
      <c r="AG523" s="15" t="s">
        <v>127</v>
      </c>
      <c r="AH523" s="72" t="s">
        <v>264</v>
      </c>
      <c r="AI523" s="9">
        <v>8.8519842045828216</v>
      </c>
      <c r="AJ523" s="15" t="s">
        <v>127</v>
      </c>
      <c r="AK523" s="79" t="s">
        <v>33</v>
      </c>
      <c r="AL523" s="9">
        <v>8.4614282936741567</v>
      </c>
      <c r="AM523" s="72" t="s">
        <v>24</v>
      </c>
      <c r="AN523" s="15" t="s">
        <v>1495</v>
      </c>
      <c r="AO523" s="9">
        <v>8.0164763804634589</v>
      </c>
      <c r="AP523" s="60"/>
      <c r="AQ523" s="72" t="s">
        <v>24</v>
      </c>
      <c r="AR523" s="9">
        <v>4.1746351401700004</v>
      </c>
      <c r="AS523" s="15" t="s">
        <v>127</v>
      </c>
      <c r="AT523" s="9">
        <v>2.5873175700850002</v>
      </c>
      <c r="AU523" s="79" t="s">
        <v>24</v>
      </c>
      <c r="AV523" s="9">
        <v>4</v>
      </c>
      <c r="AW523" s="72" t="s">
        <v>33</v>
      </c>
      <c r="AX523" s="9">
        <v>58.14343252306</v>
      </c>
      <c r="AY523" s="79" t="s">
        <v>33</v>
      </c>
      <c r="AZ523" s="9">
        <v>0.96905720871766665</v>
      </c>
      <c r="BA523" s="79" t="s">
        <v>24</v>
      </c>
      <c r="BB523" s="79" t="s">
        <v>33</v>
      </c>
      <c r="BC523" s="9">
        <v>5.5908247546459373</v>
      </c>
      <c r="BD523" s="79" t="s">
        <v>24</v>
      </c>
      <c r="BE523" s="79" t="s">
        <v>264</v>
      </c>
      <c r="BF523" s="9">
        <v>5.1631056584290915</v>
      </c>
      <c r="BG523" s="79" t="s">
        <v>24</v>
      </c>
      <c r="BH523" s="15" t="s">
        <v>1495</v>
      </c>
      <c r="BI523" s="9">
        <v>4.5900958420535716</v>
      </c>
      <c r="BJ523" s="15" t="s">
        <v>127</v>
      </c>
      <c r="BK523" s="79" t="s">
        <v>33</v>
      </c>
      <c r="BL523" s="9">
        <v>4.3794503105035485</v>
      </c>
      <c r="BM523" s="15" t="s">
        <v>127</v>
      </c>
      <c r="BN523" s="79" t="s">
        <v>264</v>
      </c>
      <c r="BO523" s="9">
        <v>4.1746351401700004</v>
      </c>
    </row>
    <row r="524" spans="1:67" x14ac:dyDescent="0.45">
      <c r="A524" s="10">
        <v>496</v>
      </c>
      <c r="B524" s="10" t="s">
        <v>462</v>
      </c>
      <c r="C524" s="79" t="s">
        <v>1983</v>
      </c>
      <c r="D524" s="65"/>
      <c r="E524" s="63" t="s">
        <v>2265</v>
      </c>
      <c r="F524" s="80" t="s">
        <v>2266</v>
      </c>
      <c r="G524" s="242"/>
      <c r="H524" s="10"/>
      <c r="I524" s="62">
        <v>108.27110137000001</v>
      </c>
      <c r="J524" s="62">
        <v>131.98010167000001</v>
      </c>
      <c r="K524" s="62">
        <v>134.35100170000001</v>
      </c>
      <c r="L524" s="49">
        <v>1441.7409643453325</v>
      </c>
      <c r="M524" s="49">
        <v>1544.6898089993658</v>
      </c>
      <c r="N524" s="49">
        <v>1632.3170454066567</v>
      </c>
      <c r="O524" s="61">
        <v>15.664284944296273</v>
      </c>
      <c r="P524" s="60"/>
      <c r="Q524" s="53" t="s">
        <v>1</v>
      </c>
      <c r="R524" s="9">
        <v>9.1203326027500005</v>
      </c>
      <c r="S524" s="72" t="s">
        <v>24</v>
      </c>
      <c r="T524" s="9">
        <v>9.245643762566667</v>
      </c>
      <c r="U524" s="72" t="s">
        <v>24</v>
      </c>
      <c r="V524" s="9">
        <v>10</v>
      </c>
      <c r="W524" s="79" t="s">
        <v>23</v>
      </c>
      <c r="X524" s="9">
        <v>59.466394739800002</v>
      </c>
      <c r="Y524" s="79" t="s">
        <v>23</v>
      </c>
      <c r="Z524" s="9">
        <v>22.871690284538463</v>
      </c>
      <c r="AA524" s="72" t="s">
        <v>24</v>
      </c>
      <c r="AB524" s="72" t="s">
        <v>23</v>
      </c>
      <c r="AC524" s="9">
        <v>13.907185993767545</v>
      </c>
      <c r="AD524" s="59" t="s">
        <v>1</v>
      </c>
      <c r="AE524" s="79" t="s">
        <v>23</v>
      </c>
      <c r="AF524" s="9">
        <v>11.9164124769959</v>
      </c>
      <c r="AG524" s="72" t="s">
        <v>24</v>
      </c>
      <c r="AH524" s="15" t="s">
        <v>1495</v>
      </c>
      <c r="AI524" s="9">
        <v>10.315530955008914</v>
      </c>
      <c r="AJ524" s="72" t="s">
        <v>24</v>
      </c>
      <c r="AK524" s="79" t="s">
        <v>1494</v>
      </c>
      <c r="AL524" s="9">
        <v>9.489949727221072</v>
      </c>
      <c r="AM524" s="53" t="s">
        <v>1</v>
      </c>
      <c r="AN524" s="15" t="s">
        <v>1495</v>
      </c>
      <c r="AO524" s="9">
        <v>9.450796950883559</v>
      </c>
      <c r="AP524" s="60"/>
      <c r="AQ524" s="53" t="s">
        <v>1</v>
      </c>
      <c r="AR524" s="9">
        <v>7.3338594301450009</v>
      </c>
      <c r="AS524" s="72" t="s">
        <v>24</v>
      </c>
      <c r="AT524" s="9">
        <v>2.6112864767150001</v>
      </c>
      <c r="AU524" s="79" t="s">
        <v>24</v>
      </c>
      <c r="AV524" s="9">
        <v>4</v>
      </c>
      <c r="AW524" s="72" t="s">
        <v>23</v>
      </c>
      <c r="AX524" s="9">
        <v>77.00631316174001</v>
      </c>
      <c r="AY524" s="79" t="s">
        <v>23</v>
      </c>
      <c r="AZ524" s="9">
        <v>1.5401262632348003</v>
      </c>
      <c r="BA524" s="79" t="s">
        <v>24</v>
      </c>
      <c r="BB524" s="79" t="s">
        <v>23</v>
      </c>
      <c r="BC524" s="9">
        <v>8.1220291941242611</v>
      </c>
      <c r="BD524" s="79" t="s">
        <v>24</v>
      </c>
      <c r="BE524" s="64" t="s">
        <v>1495</v>
      </c>
      <c r="BF524" s="9">
        <v>5.9267512161096949</v>
      </c>
      <c r="BG524" s="79" t="s">
        <v>24</v>
      </c>
      <c r="BH524" s="72" t="s">
        <v>1494</v>
      </c>
      <c r="BI524" s="9">
        <v>5.9196383043654555</v>
      </c>
      <c r="BJ524" s="53" t="s">
        <v>1</v>
      </c>
      <c r="BK524" s="79" t="s">
        <v>23</v>
      </c>
      <c r="BL524" s="9">
        <v>5.3123772466518595</v>
      </c>
      <c r="BM524" s="53" t="s">
        <v>1</v>
      </c>
      <c r="BN524" s="79" t="s">
        <v>1494</v>
      </c>
      <c r="BO524" s="9">
        <v>4.1855025134207944</v>
      </c>
    </row>
    <row r="525" spans="1:67" x14ac:dyDescent="0.45">
      <c r="A525" s="10">
        <v>497</v>
      </c>
      <c r="B525" s="10" t="s">
        <v>25</v>
      </c>
      <c r="C525" s="79" t="s">
        <v>1983</v>
      </c>
      <c r="D525" s="65"/>
      <c r="E525" s="63" t="s">
        <v>2265</v>
      </c>
      <c r="F525" s="80" t="s">
        <v>2266</v>
      </c>
      <c r="G525" s="242"/>
      <c r="H525" s="10"/>
      <c r="I525" s="62">
        <v>139.09280176000001</v>
      </c>
      <c r="J525" s="62">
        <v>173.07570219000002</v>
      </c>
      <c r="K525" s="62">
        <v>154.89880196000001</v>
      </c>
      <c r="L525" s="49">
        <v>2277.4389073326938</v>
      </c>
      <c r="M525" s="49">
        <v>2404.6906285642744</v>
      </c>
      <c r="N525" s="49">
        <v>2511.5925776887193</v>
      </c>
      <c r="O525" s="61">
        <v>22.853784174002552</v>
      </c>
      <c r="P525" s="60"/>
      <c r="Q525" s="53" t="s">
        <v>1</v>
      </c>
      <c r="R525" s="9">
        <v>11.431960132</v>
      </c>
      <c r="S525" s="72" t="s">
        <v>24</v>
      </c>
      <c r="T525" s="9">
        <v>11.403162789866668</v>
      </c>
      <c r="U525" s="72" t="s">
        <v>24</v>
      </c>
      <c r="V525" s="9">
        <v>10</v>
      </c>
      <c r="W525" s="79" t="s">
        <v>23</v>
      </c>
      <c r="X525" s="9">
        <v>76.110112950400008</v>
      </c>
      <c r="Y525" s="79" t="s">
        <v>23</v>
      </c>
      <c r="Z525" s="9">
        <v>29.273120365538464</v>
      </c>
      <c r="AA525" s="72" t="s">
        <v>24</v>
      </c>
      <c r="AB525" s="72" t="s">
        <v>23</v>
      </c>
      <c r="AC525" s="9">
        <v>17.516569328912279</v>
      </c>
      <c r="AD525" s="59" t="s">
        <v>1</v>
      </c>
      <c r="AE525" s="79" t="s">
        <v>23</v>
      </c>
      <c r="AF525" s="9">
        <v>15.087005426950819</v>
      </c>
      <c r="AG525" s="72" t="s">
        <v>24</v>
      </c>
      <c r="AH525" s="16" t="s">
        <v>203</v>
      </c>
      <c r="AI525" s="9">
        <v>13.475766822713181</v>
      </c>
      <c r="AJ525" s="53" t="s">
        <v>1</v>
      </c>
      <c r="AK525" s="287" t="s">
        <v>203</v>
      </c>
      <c r="AL525" s="9">
        <v>12.26594104341646</v>
      </c>
      <c r="AM525" s="72" t="s">
        <v>24</v>
      </c>
      <c r="AN525" s="72" t="s">
        <v>1494</v>
      </c>
      <c r="AO525" s="9">
        <v>11.901388462397238</v>
      </c>
      <c r="AP525" s="60"/>
      <c r="AQ525" s="53" t="s">
        <v>1</v>
      </c>
      <c r="AR525" s="9">
        <v>9.1369289029600012</v>
      </c>
      <c r="AS525" s="72" t="s">
        <v>24</v>
      </c>
      <c r="AT525" s="9">
        <v>3.2123096343200004</v>
      </c>
      <c r="AU525" s="79" t="s">
        <v>24</v>
      </c>
      <c r="AV525" s="9">
        <v>4</v>
      </c>
      <c r="AW525" s="72" t="s">
        <v>23</v>
      </c>
      <c r="AX525" s="9">
        <v>98.643146835520014</v>
      </c>
      <c r="AY525" s="79" t="s">
        <v>23</v>
      </c>
      <c r="AZ525" s="9">
        <v>1.9728629367104003</v>
      </c>
      <c r="BA525" s="79" t="s">
        <v>24</v>
      </c>
      <c r="BB525" s="79" t="s">
        <v>23</v>
      </c>
      <c r="BC525" s="9">
        <v>10.281260538112592</v>
      </c>
      <c r="BD525" s="79" t="s">
        <v>24</v>
      </c>
      <c r="BE525" s="79" t="s">
        <v>1494</v>
      </c>
      <c r="BF525" s="9">
        <v>7.4495154328145468</v>
      </c>
      <c r="BG525" s="79" t="s">
        <v>24</v>
      </c>
      <c r="BH525" s="16" t="s">
        <v>203</v>
      </c>
      <c r="BI525" s="9">
        <v>7.0909518379836749</v>
      </c>
      <c r="BJ525" s="53" t="s">
        <v>1</v>
      </c>
      <c r="BK525" s="79" t="s">
        <v>23</v>
      </c>
      <c r="BL525" s="9">
        <v>6.7224700394943602</v>
      </c>
      <c r="BM525" s="53" t="s">
        <v>1</v>
      </c>
      <c r="BN525" s="79" t="s">
        <v>1494</v>
      </c>
      <c r="BO525" s="9">
        <v>5.2730682271822236</v>
      </c>
    </row>
    <row r="526" spans="1:67" x14ac:dyDescent="0.45">
      <c r="A526" s="10">
        <v>498</v>
      </c>
      <c r="B526" s="10" t="s">
        <v>458</v>
      </c>
      <c r="C526" s="75" t="s">
        <v>1976</v>
      </c>
      <c r="D526" s="65"/>
      <c r="E526" s="80" t="s">
        <v>2198</v>
      </c>
      <c r="F526" s="289" t="s">
        <v>2199</v>
      </c>
      <c r="G526" s="242"/>
      <c r="H526" s="10"/>
      <c r="I526" s="62">
        <v>102.73900130000001</v>
      </c>
      <c r="J526" s="62">
        <v>79.030000999999999</v>
      </c>
      <c r="K526" s="62">
        <v>140.67340178000001</v>
      </c>
      <c r="L526" s="49">
        <v>1083.2715273660476</v>
      </c>
      <c r="M526" s="49">
        <v>1092.6797080400997</v>
      </c>
      <c r="N526" s="49">
        <v>1100.2650496366125</v>
      </c>
      <c r="O526" s="61">
        <v>10.3031603134701</v>
      </c>
      <c r="P526" s="60"/>
      <c r="Q526" s="70" t="s">
        <v>138</v>
      </c>
      <c r="R526" s="9">
        <v>7.1643400780000004</v>
      </c>
      <c r="S526" s="70" t="s">
        <v>138</v>
      </c>
      <c r="T526" s="9">
        <v>7.1643400780000004</v>
      </c>
      <c r="U526" s="15" t="s">
        <v>2387</v>
      </c>
      <c r="V526" s="9">
        <v>10</v>
      </c>
      <c r="W526" s="75" t="s">
        <v>2378</v>
      </c>
      <c r="X526" s="9">
        <v>44.150380546000001</v>
      </c>
      <c r="Y526" s="75" t="s">
        <v>76</v>
      </c>
      <c r="Z526" s="9">
        <v>20.068354793636363</v>
      </c>
      <c r="AA526" s="70" t="s">
        <v>138</v>
      </c>
      <c r="AB526" s="70" t="s">
        <v>76</v>
      </c>
      <c r="AC526" s="9">
        <v>11.107233463333333</v>
      </c>
      <c r="AD526" s="64" t="s">
        <v>127</v>
      </c>
      <c r="AE526" s="75" t="s">
        <v>76</v>
      </c>
      <c r="AF526" s="9">
        <v>11.088212620972223</v>
      </c>
      <c r="AG526" s="70" t="s">
        <v>138</v>
      </c>
      <c r="AH526" s="15" t="s">
        <v>1480</v>
      </c>
      <c r="AI526" s="9">
        <v>9.6622708124203829</v>
      </c>
      <c r="AJ526" s="15" t="s">
        <v>127</v>
      </c>
      <c r="AK526" s="64" t="s">
        <v>1480</v>
      </c>
      <c r="AL526" s="9">
        <v>9.6448249442675174</v>
      </c>
      <c r="AM526" s="70" t="s">
        <v>138</v>
      </c>
      <c r="AN526" s="70" t="s">
        <v>1482</v>
      </c>
      <c r="AO526" s="9">
        <v>9.5371281503738334</v>
      </c>
      <c r="AP526" s="60"/>
      <c r="AQ526" s="70" t="s">
        <v>138</v>
      </c>
      <c r="AR526" s="9">
        <v>5.8081852608400011</v>
      </c>
      <c r="AS526" s="15" t="s">
        <v>127</v>
      </c>
      <c r="AT526" s="9">
        <v>3.0034105253500005</v>
      </c>
      <c r="AU526" s="75" t="s">
        <v>138</v>
      </c>
      <c r="AV526" s="9">
        <v>3</v>
      </c>
      <c r="AW526" s="70" t="s">
        <v>76</v>
      </c>
      <c r="AX526" s="9">
        <v>73.122778912600012</v>
      </c>
      <c r="AY526" s="75" t="s">
        <v>76</v>
      </c>
      <c r="AZ526" s="9">
        <v>1.3295050711381819</v>
      </c>
      <c r="BA526" s="75" t="s">
        <v>138</v>
      </c>
      <c r="BB526" s="75" t="s">
        <v>76</v>
      </c>
      <c r="BC526" s="9">
        <v>6.5360936450155185</v>
      </c>
      <c r="BD526" s="75" t="s">
        <v>138</v>
      </c>
      <c r="BE526" s="75" t="s">
        <v>1482</v>
      </c>
      <c r="BF526" s="9">
        <v>5.9715304839698122</v>
      </c>
      <c r="BG526" s="75" t="s">
        <v>138</v>
      </c>
      <c r="BH526" s="15" t="s">
        <v>1480</v>
      </c>
      <c r="BI526" s="9">
        <v>5.9170493048868433</v>
      </c>
      <c r="BJ526" s="15" t="s">
        <v>127</v>
      </c>
      <c r="BK526" s="75" t="s">
        <v>76</v>
      </c>
      <c r="BL526" s="9">
        <v>5.4637392406921057</v>
      </c>
      <c r="BM526" s="15" t="s">
        <v>127</v>
      </c>
      <c r="BN526" s="75" t="s">
        <v>1482</v>
      </c>
      <c r="BO526" s="9">
        <v>5.0838753016750013</v>
      </c>
    </row>
    <row r="527" spans="1:67" x14ac:dyDescent="0.45">
      <c r="A527" s="10">
        <v>499</v>
      </c>
      <c r="B527" s="10" t="s">
        <v>456</v>
      </c>
      <c r="C527" s="58" t="s">
        <v>2160</v>
      </c>
      <c r="D527" s="65"/>
      <c r="E527" s="80" t="s">
        <v>2316</v>
      </c>
      <c r="F527" s="59" t="s">
        <v>2317</v>
      </c>
      <c r="G527" s="289" t="s">
        <v>1887</v>
      </c>
      <c r="H527" s="10"/>
      <c r="I527" s="62">
        <v>148.57640188000002</v>
      </c>
      <c r="J527" s="62">
        <v>95.626301210000008</v>
      </c>
      <c r="K527" s="62">
        <v>175.44660222000002</v>
      </c>
      <c r="L527" s="49">
        <v>1924.4693402861801</v>
      </c>
      <c r="M527" s="49">
        <v>1838.43425806097</v>
      </c>
      <c r="N527" s="49">
        <v>1772.3838757569479</v>
      </c>
      <c r="O527" s="61">
        <v>15.312985469253583</v>
      </c>
      <c r="P527" s="60"/>
      <c r="Q527" s="70" t="s">
        <v>138</v>
      </c>
      <c r="R527" s="9">
        <v>9.9145841128000001</v>
      </c>
      <c r="S527" s="70" t="s">
        <v>138</v>
      </c>
      <c r="T527" s="9">
        <v>9.9145841128000001</v>
      </c>
      <c r="U527" s="15" t="s">
        <v>2387</v>
      </c>
      <c r="V527" s="9">
        <v>10</v>
      </c>
      <c r="W527" s="75" t="s">
        <v>2378</v>
      </c>
      <c r="X527" s="9">
        <v>63.402088789600008</v>
      </c>
      <c r="Y527" s="75" t="s">
        <v>76</v>
      </c>
      <c r="Z527" s="9">
        <v>28.819131268</v>
      </c>
      <c r="AA527" s="70" t="s">
        <v>138</v>
      </c>
      <c r="AB527" s="70" t="s">
        <v>76</v>
      </c>
      <c r="AC527" s="9">
        <v>15.690973521333333</v>
      </c>
      <c r="AD527" s="64" t="s">
        <v>127</v>
      </c>
      <c r="AE527" s="75" t="s">
        <v>76</v>
      </c>
      <c r="AF527" s="9">
        <v>15.353637397166668</v>
      </c>
      <c r="AG527" s="70" t="s">
        <v>138</v>
      </c>
      <c r="AH527" s="70" t="s">
        <v>1482</v>
      </c>
      <c r="AI527" s="9">
        <v>13.521126518542058</v>
      </c>
      <c r="AJ527" s="15" t="s">
        <v>127</v>
      </c>
      <c r="AK527" s="75" t="s">
        <v>1482</v>
      </c>
      <c r="AL527" s="9">
        <v>13.294133986392525</v>
      </c>
      <c r="AM527" s="70" t="s">
        <v>138</v>
      </c>
      <c r="AN527" s="52" t="s">
        <v>1488</v>
      </c>
      <c r="AO527" s="9">
        <v>12.509105027073172</v>
      </c>
      <c r="AP527" s="60"/>
      <c r="AQ527" s="70" t="s">
        <v>138</v>
      </c>
      <c r="AR527" s="9">
        <v>7.9533756079840012</v>
      </c>
      <c r="AS527" s="70" t="s">
        <v>138</v>
      </c>
      <c r="AT527" s="9">
        <v>3.9766878039920006</v>
      </c>
      <c r="AU527" s="75" t="s">
        <v>138</v>
      </c>
      <c r="AV527" s="9">
        <v>3</v>
      </c>
      <c r="AW527" s="70" t="s">
        <v>76</v>
      </c>
      <c r="AX527" s="9">
        <v>105.30063411976002</v>
      </c>
      <c r="AY527" s="75" t="s">
        <v>76</v>
      </c>
      <c r="AZ527" s="9">
        <v>1.9145569839956367</v>
      </c>
      <c r="BA527" s="75" t="s">
        <v>138</v>
      </c>
      <c r="BB527" s="75" t="s">
        <v>76</v>
      </c>
      <c r="BC527" s="9">
        <v>9.21758157894552</v>
      </c>
      <c r="BD527" s="75" t="s">
        <v>138</v>
      </c>
      <c r="BE527" s="75" t="s">
        <v>1482</v>
      </c>
      <c r="BF527" s="9">
        <v>8.4000478580950944</v>
      </c>
      <c r="BG527" s="64" t="s">
        <v>127</v>
      </c>
      <c r="BH527" s="70" t="s">
        <v>76</v>
      </c>
      <c r="BI527" s="9">
        <v>7.4552536711547379</v>
      </c>
      <c r="BJ527" s="70" t="s">
        <v>138</v>
      </c>
      <c r="BK527" s="56" t="s">
        <v>1488</v>
      </c>
      <c r="BL527" s="9">
        <v>7.0540961397733346</v>
      </c>
      <c r="BM527" s="15" t="s">
        <v>127</v>
      </c>
      <c r="BN527" s="75" t="s">
        <v>1482</v>
      </c>
      <c r="BO527" s="9">
        <v>6.9059119747300013</v>
      </c>
    </row>
    <row r="528" spans="1:67" x14ac:dyDescent="0.45">
      <c r="A528" s="10">
        <v>500</v>
      </c>
      <c r="B528" s="10" t="s">
        <v>227</v>
      </c>
      <c r="C528" s="58" t="s">
        <v>2160</v>
      </c>
      <c r="D528" s="65"/>
      <c r="E528" s="80" t="s">
        <v>2316</v>
      </c>
      <c r="F528" s="59" t="s">
        <v>2317</v>
      </c>
      <c r="G528" s="289" t="s">
        <v>1887</v>
      </c>
      <c r="H528" s="10"/>
      <c r="I528" s="62">
        <v>197.57500250000001</v>
      </c>
      <c r="J528" s="62">
        <v>112.22260142</v>
      </c>
      <c r="K528" s="62">
        <v>203.10710257000002</v>
      </c>
      <c r="L528" s="49">
        <v>2982.8726863860775</v>
      </c>
      <c r="M528" s="49">
        <v>2727.040738495376</v>
      </c>
      <c r="N528" s="49">
        <v>2538.2661172562271</v>
      </c>
      <c r="O528" s="61">
        <v>20.493386295318547</v>
      </c>
      <c r="P528" s="60"/>
      <c r="Q528" s="70" t="s">
        <v>138</v>
      </c>
      <c r="R528" s="9">
        <v>12.85450015</v>
      </c>
      <c r="S528" s="55" t="s">
        <v>140</v>
      </c>
      <c r="T528" s="9">
        <v>13.521166816666668</v>
      </c>
      <c r="U528" s="55" t="s">
        <v>2446</v>
      </c>
      <c r="V528" s="9">
        <v>10</v>
      </c>
      <c r="W528" s="58" t="s">
        <v>187</v>
      </c>
      <c r="X528" s="9">
        <v>166.96300210000001</v>
      </c>
      <c r="Y528" s="58" t="s">
        <v>187</v>
      </c>
      <c r="Z528" s="9">
        <v>47.703714885714291</v>
      </c>
      <c r="AA528" s="55" t="s">
        <v>140</v>
      </c>
      <c r="AB528" s="55" t="s">
        <v>187</v>
      </c>
      <c r="AC528" s="9">
        <v>22.253934571532849</v>
      </c>
      <c r="AD528" s="75" t="s">
        <v>138</v>
      </c>
      <c r="AE528" s="58" t="s">
        <v>187</v>
      </c>
      <c r="AF528" s="9">
        <v>21.889481748148146</v>
      </c>
      <c r="AG528" s="55" t="s">
        <v>140</v>
      </c>
      <c r="AH528" s="52" t="s">
        <v>40</v>
      </c>
      <c r="AI528" s="9">
        <v>19.173485075757576</v>
      </c>
      <c r="AJ528" s="55" t="s">
        <v>140</v>
      </c>
      <c r="AK528" s="75" t="s">
        <v>270</v>
      </c>
      <c r="AL528" s="9">
        <v>19.055579769318182</v>
      </c>
      <c r="AM528" s="70" t="s">
        <v>138</v>
      </c>
      <c r="AN528" s="52" t="s">
        <v>40</v>
      </c>
      <c r="AO528" s="9">
        <v>18.740584642857144</v>
      </c>
      <c r="AP528" s="60"/>
      <c r="AQ528" s="70" t="s">
        <v>138</v>
      </c>
      <c r="AR528" s="9">
        <v>10.246510117000001</v>
      </c>
      <c r="AS528" s="70" t="s">
        <v>138</v>
      </c>
      <c r="AT528" s="9">
        <v>5.1232550585000007</v>
      </c>
      <c r="AU528" s="75" t="s">
        <v>138</v>
      </c>
      <c r="AV528" s="9">
        <v>3</v>
      </c>
      <c r="AW528" s="55" t="s">
        <v>187</v>
      </c>
      <c r="AX528" s="9">
        <v>232.16275292500001</v>
      </c>
      <c r="AY528" s="58" t="s">
        <v>187</v>
      </c>
      <c r="AZ528" s="9">
        <v>3.0955033723333334</v>
      </c>
      <c r="BA528" s="75" t="s">
        <v>138</v>
      </c>
      <c r="BB528" s="58" t="s">
        <v>187</v>
      </c>
      <c r="BC528" s="9">
        <v>13.855543437980771</v>
      </c>
      <c r="BD528" s="75" t="s">
        <v>138</v>
      </c>
      <c r="BE528" s="56" t="s">
        <v>40</v>
      </c>
      <c r="BF528" s="9">
        <v>11.286739198593752</v>
      </c>
      <c r="BG528" s="58" t="s">
        <v>140</v>
      </c>
      <c r="BH528" s="55" t="s">
        <v>187</v>
      </c>
      <c r="BI528" s="9">
        <v>10.955737228870969</v>
      </c>
      <c r="BJ528" s="70" t="s">
        <v>138</v>
      </c>
      <c r="BK528" s="75" t="s">
        <v>270</v>
      </c>
      <c r="BL528" s="9">
        <v>10.595555896730771</v>
      </c>
      <c r="BM528" s="55" t="s">
        <v>140</v>
      </c>
      <c r="BN528" s="56" t="s">
        <v>40</v>
      </c>
      <c r="BO528" s="9">
        <v>8.8535822106315791</v>
      </c>
    </row>
    <row r="529" spans="1:67" x14ac:dyDescent="0.45">
      <c r="A529" s="10">
        <v>501</v>
      </c>
      <c r="B529" s="10" t="s">
        <v>451</v>
      </c>
      <c r="C529" s="288" t="s">
        <v>1993</v>
      </c>
      <c r="D529" s="65"/>
      <c r="E529" s="290" t="s">
        <v>2201</v>
      </c>
      <c r="F529" s="59" t="s">
        <v>2202</v>
      </c>
      <c r="G529" s="242"/>
      <c r="H529" s="10"/>
      <c r="I529" s="62">
        <v>104.31960132</v>
      </c>
      <c r="J529" s="62">
        <v>79.030000999999999</v>
      </c>
      <c r="K529" s="62">
        <v>127.23830161000001</v>
      </c>
      <c r="L529" s="49">
        <v>1046.0943202084791</v>
      </c>
      <c r="M529" s="49">
        <v>1032.4059837718228</v>
      </c>
      <c r="N529" s="49">
        <v>1021.5843899329864</v>
      </c>
      <c r="O529" s="61">
        <v>9.3191506206105963</v>
      </c>
      <c r="P529" s="60"/>
      <c r="Q529" s="73" t="s">
        <v>121</v>
      </c>
      <c r="R529" s="9">
        <v>4.1295880395999998</v>
      </c>
      <c r="S529" s="73" t="s">
        <v>121</v>
      </c>
      <c r="T529" s="9">
        <v>8.2591760791999995</v>
      </c>
      <c r="U529" s="15" t="s">
        <v>2390</v>
      </c>
      <c r="V529" s="9">
        <v>10</v>
      </c>
      <c r="W529" s="288" t="s">
        <v>238</v>
      </c>
      <c r="X529" s="9">
        <v>44.8142325544</v>
      </c>
      <c r="Y529" s="288" t="s">
        <v>306</v>
      </c>
      <c r="Z529" s="9">
        <v>16.997831787368423</v>
      </c>
      <c r="AA529" s="73" t="s">
        <v>121</v>
      </c>
      <c r="AB529" s="73" t="s">
        <v>306</v>
      </c>
      <c r="AC529" s="9">
        <v>11.431809043312102</v>
      </c>
      <c r="AD529" s="64" t="s">
        <v>127</v>
      </c>
      <c r="AE529" s="288" t="s">
        <v>306</v>
      </c>
      <c r="AF529" s="9">
        <v>10.767352983949046</v>
      </c>
      <c r="AG529" s="73" t="s">
        <v>121</v>
      </c>
      <c r="AH529" s="73" t="s">
        <v>238</v>
      </c>
      <c r="AI529" s="9">
        <v>10.501233286634147</v>
      </c>
      <c r="AJ529" s="73" t="s">
        <v>121</v>
      </c>
      <c r="AK529" s="76" t="s">
        <v>1491</v>
      </c>
      <c r="AL529" s="9">
        <v>9.8693651675903613</v>
      </c>
      <c r="AM529" s="15" t="s">
        <v>127</v>
      </c>
      <c r="AN529" s="73" t="s">
        <v>238</v>
      </c>
      <c r="AO529" s="9">
        <v>9.8651381566341456</v>
      </c>
      <c r="AP529" s="60"/>
      <c r="AQ529" s="73" t="s">
        <v>121</v>
      </c>
      <c r="AR529" s="9">
        <v>3.4410786708880003</v>
      </c>
      <c r="AS529" s="73" t="s">
        <v>121</v>
      </c>
      <c r="AT529" s="9">
        <v>3.4410786708880003</v>
      </c>
      <c r="AU529" s="288" t="s">
        <v>121</v>
      </c>
      <c r="AV529" s="9">
        <v>3</v>
      </c>
      <c r="AW529" s="73" t="s">
        <v>238</v>
      </c>
      <c r="AX529" s="9">
        <v>57.958502320720001</v>
      </c>
      <c r="AY529" s="288" t="s">
        <v>306</v>
      </c>
      <c r="AZ529" s="9">
        <v>1.1909898432800001</v>
      </c>
      <c r="BA529" s="288" t="s">
        <v>121</v>
      </c>
      <c r="BB529" s="288" t="s">
        <v>306</v>
      </c>
      <c r="BC529" s="9">
        <v>6.4603075533021066</v>
      </c>
      <c r="BD529" s="288" t="s">
        <v>121</v>
      </c>
      <c r="BE529" s="288" t="s">
        <v>238</v>
      </c>
      <c r="BF529" s="9">
        <v>6.0371464637371428</v>
      </c>
      <c r="BG529" s="288" t="s">
        <v>121</v>
      </c>
      <c r="BH529" s="67" t="s">
        <v>1491</v>
      </c>
      <c r="BI529" s="9">
        <v>5.9249832833705272</v>
      </c>
      <c r="BJ529" s="15" t="s">
        <v>127</v>
      </c>
      <c r="BK529" s="288" t="s">
        <v>306</v>
      </c>
      <c r="BL529" s="9">
        <v>5.1234437008243248</v>
      </c>
      <c r="BM529" s="15" t="s">
        <v>127</v>
      </c>
      <c r="BN529" s="288" t="s">
        <v>238</v>
      </c>
      <c r="BO529" s="9">
        <v>4.8059828739651609</v>
      </c>
    </row>
    <row r="530" spans="1:67" x14ac:dyDescent="0.45">
      <c r="A530" s="10">
        <v>502</v>
      </c>
      <c r="B530" s="10" t="s">
        <v>448</v>
      </c>
      <c r="C530" s="288" t="s">
        <v>1993</v>
      </c>
      <c r="D530" s="65"/>
      <c r="E530" s="290" t="s">
        <v>2201</v>
      </c>
      <c r="F530" s="59" t="s">
        <v>2202</v>
      </c>
      <c r="G530" s="242"/>
      <c r="H530" s="10"/>
      <c r="I530" s="62">
        <v>137.51220174000002</v>
      </c>
      <c r="J530" s="62">
        <v>103.52930131000001</v>
      </c>
      <c r="K530" s="62">
        <v>154.89880196000001</v>
      </c>
      <c r="L530" s="49">
        <v>1741.393450269492</v>
      </c>
      <c r="M530" s="49">
        <v>1694.2144637923036</v>
      </c>
      <c r="N530" s="49">
        <v>1657.3932576882883</v>
      </c>
      <c r="O530" s="61">
        <v>14.532069716352661</v>
      </c>
      <c r="P530" s="60"/>
      <c r="Q530" s="73" t="s">
        <v>121</v>
      </c>
      <c r="R530" s="9">
        <v>5.1253660522000004</v>
      </c>
      <c r="S530" s="73" t="s">
        <v>121</v>
      </c>
      <c r="T530" s="9">
        <v>10.250732104400001</v>
      </c>
      <c r="U530" s="69" t="s">
        <v>27</v>
      </c>
      <c r="V530" s="9">
        <v>15</v>
      </c>
      <c r="W530" s="288" t="s">
        <v>238</v>
      </c>
      <c r="X530" s="9">
        <v>58.755124730800006</v>
      </c>
      <c r="Y530" s="288" t="s">
        <v>306</v>
      </c>
      <c r="Z530" s="9">
        <v>22.238768695789478</v>
      </c>
      <c r="AA530" s="73" t="s">
        <v>121</v>
      </c>
      <c r="AB530" s="73" t="s">
        <v>306</v>
      </c>
      <c r="AC530" s="9">
        <v>14.603076599363057</v>
      </c>
      <c r="AD530" s="289" t="s">
        <v>27</v>
      </c>
      <c r="AE530" s="288" t="s">
        <v>306</v>
      </c>
      <c r="AF530" s="9">
        <v>14.377819299272238</v>
      </c>
      <c r="AG530" s="73" t="s">
        <v>121</v>
      </c>
      <c r="AH530" s="73" t="s">
        <v>238</v>
      </c>
      <c r="AI530" s="9">
        <v>13.415705518634148</v>
      </c>
      <c r="AJ530" s="73" t="s">
        <v>121</v>
      </c>
      <c r="AK530" s="289" t="s">
        <v>26</v>
      </c>
      <c r="AL530" s="9">
        <v>13.400544406655408</v>
      </c>
      <c r="AM530" s="69" t="s">
        <v>27</v>
      </c>
      <c r="AN530" s="73" t="s">
        <v>238</v>
      </c>
      <c r="AO530" s="9">
        <v>12.899614788005101</v>
      </c>
      <c r="AP530" s="60"/>
      <c r="AQ530" s="73" t="s">
        <v>121</v>
      </c>
      <c r="AR530" s="9">
        <v>4.2177855207160002</v>
      </c>
      <c r="AS530" s="73" t="s">
        <v>121</v>
      </c>
      <c r="AT530" s="9">
        <v>4.2177855207160002</v>
      </c>
      <c r="AU530" s="289" t="s">
        <v>27</v>
      </c>
      <c r="AV530" s="9">
        <v>4</v>
      </c>
      <c r="AW530" s="73" t="s">
        <v>238</v>
      </c>
      <c r="AX530" s="9">
        <v>76.081662150040017</v>
      </c>
      <c r="AY530" s="288" t="s">
        <v>306</v>
      </c>
      <c r="AZ530" s="9">
        <v>1.5608502479600004</v>
      </c>
      <c r="BA530" s="288" t="s">
        <v>121</v>
      </c>
      <c r="BB530" s="288" t="s">
        <v>306</v>
      </c>
      <c r="BC530" s="9">
        <v>8.1976781384436848</v>
      </c>
      <c r="BD530" s="289" t="s">
        <v>27</v>
      </c>
      <c r="BE530" s="288" t="s">
        <v>306</v>
      </c>
      <c r="BF530" s="9">
        <v>8.1047970899000017</v>
      </c>
      <c r="BG530" s="288" t="s">
        <v>121</v>
      </c>
      <c r="BH530" s="73" t="s">
        <v>238</v>
      </c>
      <c r="BI530" s="9">
        <v>7.6398748840171447</v>
      </c>
      <c r="BJ530" s="69" t="s">
        <v>27</v>
      </c>
      <c r="BK530" s="288" t="s">
        <v>238</v>
      </c>
      <c r="BL530" s="9">
        <v>7.3685338430837515</v>
      </c>
      <c r="BM530" s="73" t="s">
        <v>121</v>
      </c>
      <c r="BN530" s="289" t="s">
        <v>26</v>
      </c>
      <c r="BO530" s="9">
        <v>7.1391960592607902</v>
      </c>
    </row>
    <row r="531" spans="1:67" x14ac:dyDescent="0.45">
      <c r="A531" s="10">
        <v>503</v>
      </c>
      <c r="B531" s="10" t="s">
        <v>445</v>
      </c>
      <c r="C531" s="288" t="s">
        <v>1993</v>
      </c>
      <c r="D531" s="65"/>
      <c r="E531" s="290" t="s">
        <v>2201</v>
      </c>
      <c r="F531" s="59" t="s">
        <v>2202</v>
      </c>
      <c r="G531" s="242"/>
      <c r="H531" s="10"/>
      <c r="I531" s="62">
        <v>179.39810227000001</v>
      </c>
      <c r="J531" s="62">
        <v>135.93160172</v>
      </c>
      <c r="K531" s="62">
        <v>182.55930231000002</v>
      </c>
      <c r="L531" s="49">
        <v>2826.0513281855028</v>
      </c>
      <c r="M531" s="49">
        <v>2706.2100187821256</v>
      </c>
      <c r="N531" s="49">
        <v>2614.0064760544187</v>
      </c>
      <c r="O531" s="61">
        <v>21.846014614179985</v>
      </c>
      <c r="P531" s="60"/>
      <c r="Q531" s="73" t="s">
        <v>206</v>
      </c>
      <c r="R531" s="9">
        <v>18.222217817920001</v>
      </c>
      <c r="S531" s="73" t="s">
        <v>206</v>
      </c>
      <c r="T531" s="9">
        <v>15.185181514933335</v>
      </c>
      <c r="U531" s="69" t="s">
        <v>27</v>
      </c>
      <c r="V531" s="9">
        <v>15</v>
      </c>
      <c r="W531" s="288" t="s">
        <v>197</v>
      </c>
      <c r="X531" s="9">
        <v>140.9305197706</v>
      </c>
      <c r="Y531" s="288" t="s">
        <v>197</v>
      </c>
      <c r="Z531" s="9">
        <v>42.706218112303034</v>
      </c>
      <c r="AA531" s="69" t="s">
        <v>27</v>
      </c>
      <c r="AB531" s="73" t="s">
        <v>197</v>
      </c>
      <c r="AC531" s="9">
        <v>20.166043153410889</v>
      </c>
      <c r="AD531" s="288" t="s">
        <v>206</v>
      </c>
      <c r="AE531" s="288" t="s">
        <v>197</v>
      </c>
      <c r="AF531" s="9">
        <v>19.990441873204233</v>
      </c>
      <c r="AG531" s="73" t="s">
        <v>206</v>
      </c>
      <c r="AH531" s="74" t="s">
        <v>132</v>
      </c>
      <c r="AI531" s="9">
        <v>18.957090807939039</v>
      </c>
      <c r="AJ531" s="69" t="s">
        <v>27</v>
      </c>
      <c r="AK531" s="291" t="s">
        <v>132</v>
      </c>
      <c r="AL531" s="9">
        <v>18.217705308520202</v>
      </c>
      <c r="AM531" s="73" t="s">
        <v>206</v>
      </c>
      <c r="AN531" s="69" t="s">
        <v>97</v>
      </c>
      <c r="AO531" s="9">
        <v>17.89988638508202</v>
      </c>
      <c r="AP531" s="60"/>
      <c r="AQ531" s="73" t="s">
        <v>206</v>
      </c>
      <c r="AR531" s="9">
        <v>17.791662372472</v>
      </c>
      <c r="AS531" s="73" t="s">
        <v>206</v>
      </c>
      <c r="AT531" s="9">
        <v>5.9305541241573332</v>
      </c>
      <c r="AU531" s="289" t="s">
        <v>27</v>
      </c>
      <c r="AV531" s="9">
        <v>4</v>
      </c>
      <c r="AW531" s="73" t="s">
        <v>197</v>
      </c>
      <c r="AX531" s="9">
        <v>182.90967570178</v>
      </c>
      <c r="AY531" s="288" t="s">
        <v>197</v>
      </c>
      <c r="AZ531" s="9">
        <v>2.4387956760237333</v>
      </c>
      <c r="BA531" s="289" t="s">
        <v>27</v>
      </c>
      <c r="BB531" s="288" t="s">
        <v>197</v>
      </c>
      <c r="BC531" s="9">
        <v>12.424706993928735</v>
      </c>
      <c r="BD531" s="288" t="s">
        <v>206</v>
      </c>
      <c r="BE531" s="288" t="s">
        <v>197</v>
      </c>
      <c r="BF531" s="9">
        <v>12.007090487337511</v>
      </c>
      <c r="BG531" s="288" t="s">
        <v>206</v>
      </c>
      <c r="BH531" s="74" t="s">
        <v>132</v>
      </c>
      <c r="BI531" s="9">
        <v>10.966119524809443</v>
      </c>
      <c r="BJ531" s="69" t="s">
        <v>27</v>
      </c>
      <c r="BK531" s="291" t="s">
        <v>132</v>
      </c>
      <c r="BL531" s="9">
        <v>10.889604245390508</v>
      </c>
      <c r="BM531" s="73" t="s">
        <v>206</v>
      </c>
      <c r="BN531" s="289" t="s">
        <v>97</v>
      </c>
      <c r="BO531" s="9">
        <v>10.555633231847168</v>
      </c>
    </row>
    <row r="532" spans="1:67" x14ac:dyDescent="0.45">
      <c r="A532" s="10">
        <v>504</v>
      </c>
      <c r="B532" s="10" t="s">
        <v>442</v>
      </c>
      <c r="C532" s="64" t="s">
        <v>1889</v>
      </c>
      <c r="D532" s="65"/>
      <c r="E532" s="58" t="s">
        <v>1903</v>
      </c>
      <c r="F532" s="77"/>
      <c r="G532" s="77" t="s">
        <v>1888</v>
      </c>
      <c r="H532" s="10"/>
      <c r="I532" s="62">
        <v>89.30390113</v>
      </c>
      <c r="J532" s="62">
        <v>69.546400880000007</v>
      </c>
      <c r="K532" s="62">
        <v>113.01290143000001</v>
      </c>
      <c r="L532" s="49">
        <v>791.72028652292443</v>
      </c>
      <c r="M532" s="49">
        <v>789.79687362354002</v>
      </c>
      <c r="N532" s="49">
        <v>788.26150823497926</v>
      </c>
      <c r="O532" s="61">
        <v>7.3485736953496934</v>
      </c>
      <c r="P532" s="60"/>
      <c r="Q532" s="67" t="s">
        <v>2447</v>
      </c>
      <c r="R532" s="9">
        <v>3.6791170338999999</v>
      </c>
      <c r="S532" s="67" t="s">
        <v>2447</v>
      </c>
      <c r="T532" s="9">
        <v>7.3582340677999998</v>
      </c>
      <c r="U532" s="15" t="s">
        <v>127</v>
      </c>
      <c r="V532" s="9">
        <v>10</v>
      </c>
      <c r="W532" s="80" t="s">
        <v>1490</v>
      </c>
      <c r="X532" s="9">
        <v>45.651950565</v>
      </c>
      <c r="Y532" s="64" t="s">
        <v>1493</v>
      </c>
      <c r="Z532" s="9">
        <v>17.546349016960001</v>
      </c>
      <c r="AA532" s="15" t="s">
        <v>127</v>
      </c>
      <c r="AB532" s="15" t="s">
        <v>1493</v>
      </c>
      <c r="AC532" s="9">
        <v>10.754272384186667</v>
      </c>
      <c r="AD532" s="76" t="s">
        <v>66</v>
      </c>
      <c r="AE532" s="64" t="s">
        <v>1493</v>
      </c>
      <c r="AF532" s="9">
        <v>10.269124053274284</v>
      </c>
      <c r="AG532" s="15" t="s">
        <v>127</v>
      </c>
      <c r="AH532" s="72" t="s">
        <v>23</v>
      </c>
      <c r="AI532" s="9">
        <v>10.260253400986842</v>
      </c>
      <c r="AJ532" s="67" t="s">
        <v>66</v>
      </c>
      <c r="AK532" s="79" t="s">
        <v>23</v>
      </c>
      <c r="AL532" s="9">
        <v>9.8503636646610158</v>
      </c>
      <c r="AM532" s="15" t="s">
        <v>127</v>
      </c>
      <c r="AN532" s="71" t="s">
        <v>1490</v>
      </c>
      <c r="AO532" s="9">
        <v>8.4992908148453612</v>
      </c>
      <c r="AP532" s="60"/>
      <c r="AQ532" s="67" t="s">
        <v>66</v>
      </c>
      <c r="AR532" s="9">
        <v>3.32190142938</v>
      </c>
      <c r="AS532" s="67" t="s">
        <v>66</v>
      </c>
      <c r="AT532" s="9">
        <v>3.32190142938</v>
      </c>
      <c r="AU532" s="76" t="s">
        <v>2481</v>
      </c>
      <c r="AV532" s="9">
        <v>2</v>
      </c>
      <c r="AW532" s="71" t="s">
        <v>1490</v>
      </c>
      <c r="AX532" s="9">
        <v>59.047535734500002</v>
      </c>
      <c r="AY532" s="64" t="s">
        <v>1493</v>
      </c>
      <c r="AZ532" s="9">
        <v>1.1345126861024</v>
      </c>
      <c r="BA532" s="76" t="s">
        <v>66</v>
      </c>
      <c r="BB532" s="64" t="s">
        <v>1493</v>
      </c>
      <c r="BC532" s="9">
        <v>5.3758911553699997</v>
      </c>
      <c r="BD532" s="76" t="s">
        <v>66</v>
      </c>
      <c r="BE532" s="79" t="s">
        <v>23</v>
      </c>
      <c r="BF532" s="9">
        <v>5.2419353036750005</v>
      </c>
      <c r="BG532" s="64" t="s">
        <v>127</v>
      </c>
      <c r="BH532" s="15" t="s">
        <v>1493</v>
      </c>
      <c r="BI532" s="9">
        <v>5.1526314025449995</v>
      </c>
      <c r="BJ532" s="15" t="s">
        <v>127</v>
      </c>
      <c r="BK532" s="79" t="s">
        <v>23</v>
      </c>
      <c r="BL532" s="9">
        <v>5.0186755508500003</v>
      </c>
      <c r="BM532" s="67" t="s">
        <v>66</v>
      </c>
      <c r="BN532" s="80" t="s">
        <v>1490</v>
      </c>
      <c r="BO532" s="9">
        <v>4.6810632417000004</v>
      </c>
    </row>
    <row r="533" spans="1:67" x14ac:dyDescent="0.45">
      <c r="A533" s="10">
        <v>505</v>
      </c>
      <c r="B533" s="10" t="s">
        <v>67</v>
      </c>
      <c r="C533" s="64" t="s">
        <v>1889</v>
      </c>
      <c r="D533" s="65"/>
      <c r="E533" s="58" t="s">
        <v>1903</v>
      </c>
      <c r="F533" s="77"/>
      <c r="G533" s="77" t="s">
        <v>1888</v>
      </c>
      <c r="H533" s="10"/>
      <c r="I533" s="62">
        <v>142.2540018</v>
      </c>
      <c r="J533" s="62">
        <v>121.70620154000001</v>
      </c>
      <c r="K533" s="62">
        <v>134.35100170000001</v>
      </c>
      <c r="L533" s="49">
        <v>1819.0360290613776</v>
      </c>
      <c r="M533" s="49">
        <v>1755.5454318709994</v>
      </c>
      <c r="N533" s="49">
        <v>1706.3522548117787</v>
      </c>
      <c r="O533" s="61">
        <v>14.577212881191331</v>
      </c>
      <c r="P533" s="60"/>
      <c r="Q533" s="67" t="s">
        <v>2448</v>
      </c>
      <c r="R533" s="9">
        <v>5.267620054</v>
      </c>
      <c r="S533" s="67" t="s">
        <v>66</v>
      </c>
      <c r="T533" s="9">
        <v>10.535240108</v>
      </c>
      <c r="U533" s="55" t="s">
        <v>140</v>
      </c>
      <c r="V533" s="9">
        <v>10</v>
      </c>
      <c r="W533" s="64" t="s">
        <v>1493</v>
      </c>
      <c r="X533" s="9">
        <v>69.281920864</v>
      </c>
      <c r="Y533" s="64" t="s">
        <v>1493</v>
      </c>
      <c r="Z533" s="9">
        <v>27.712768345600001</v>
      </c>
      <c r="AA533" s="67" t="s">
        <v>66</v>
      </c>
      <c r="AB533" s="15" t="s">
        <v>1493</v>
      </c>
      <c r="AC533" s="9">
        <v>15.443105318742855</v>
      </c>
      <c r="AD533" s="58" t="s">
        <v>140</v>
      </c>
      <c r="AE533" s="64" t="s">
        <v>1493</v>
      </c>
      <c r="AF533" s="9">
        <v>15.090500619644445</v>
      </c>
      <c r="AG533" s="67" t="s">
        <v>66</v>
      </c>
      <c r="AH533" s="72" t="s">
        <v>23</v>
      </c>
      <c r="AI533" s="9">
        <v>14.786389998305085</v>
      </c>
      <c r="AJ533" s="55" t="s">
        <v>140</v>
      </c>
      <c r="AK533" s="79" t="s">
        <v>23</v>
      </c>
      <c r="AL533" s="9">
        <v>14.330412446491227</v>
      </c>
      <c r="AM533" s="67" t="s">
        <v>66</v>
      </c>
      <c r="AN533" s="67" t="s">
        <v>91</v>
      </c>
      <c r="AO533" s="9">
        <v>12.853267114932127</v>
      </c>
      <c r="AP533" s="60"/>
      <c r="AQ533" s="67" t="s">
        <v>2448</v>
      </c>
      <c r="AR533" s="9">
        <v>4.6986040467999999</v>
      </c>
      <c r="AS533" s="67" t="s">
        <v>66</v>
      </c>
      <c r="AT533" s="9">
        <v>4.6986040467999999</v>
      </c>
      <c r="AU533" s="58" t="s">
        <v>140</v>
      </c>
      <c r="AV533" s="9">
        <v>2.5</v>
      </c>
      <c r="AW533" s="15" t="s">
        <v>1493</v>
      </c>
      <c r="AX533" s="9">
        <v>89.766497123199997</v>
      </c>
      <c r="AY533" s="64" t="s">
        <v>1493</v>
      </c>
      <c r="AZ533" s="9">
        <v>1.7953299424639999</v>
      </c>
      <c r="BA533" s="76" t="s">
        <v>66</v>
      </c>
      <c r="BB533" s="64" t="s">
        <v>1493</v>
      </c>
      <c r="BC533" s="9">
        <v>7.9704460882000001</v>
      </c>
      <c r="BD533" s="76" t="s">
        <v>66</v>
      </c>
      <c r="BE533" s="79" t="s">
        <v>23</v>
      </c>
      <c r="BF533" s="9">
        <v>7.757065085499999</v>
      </c>
      <c r="BG533" s="76" t="s">
        <v>66</v>
      </c>
      <c r="BH533" s="67" t="s">
        <v>91</v>
      </c>
      <c r="BI533" s="9">
        <v>7.2954962498723406</v>
      </c>
      <c r="BJ533" s="55" t="s">
        <v>140</v>
      </c>
      <c r="BK533" s="64" t="s">
        <v>1493</v>
      </c>
      <c r="BL533" s="9">
        <v>6.5120255995809524</v>
      </c>
      <c r="BM533" s="55" t="s">
        <v>140</v>
      </c>
      <c r="BN533" s="79" t="s">
        <v>23</v>
      </c>
      <c r="BO533" s="9">
        <v>6.2478395962380961</v>
      </c>
    </row>
    <row r="534" spans="1:67" x14ac:dyDescent="0.45">
      <c r="A534" s="10">
        <v>506</v>
      </c>
      <c r="B534" s="10" t="s">
        <v>437</v>
      </c>
      <c r="C534" s="64" t="s">
        <v>1889</v>
      </c>
      <c r="D534" s="65"/>
      <c r="E534" s="58" t="s">
        <v>1903</v>
      </c>
      <c r="F534" s="77"/>
      <c r="G534" s="77" t="s">
        <v>1888</v>
      </c>
      <c r="H534" s="10"/>
      <c r="I534" s="62">
        <v>96.416601220000004</v>
      </c>
      <c r="J534" s="62">
        <v>79.820301010000009</v>
      </c>
      <c r="K534" s="62">
        <v>113.01290143000001</v>
      </c>
      <c r="L534" s="49">
        <v>915.74068814759141</v>
      </c>
      <c r="M534" s="49">
        <v>911.16172784666867</v>
      </c>
      <c r="N534" s="49">
        <v>907.51505029139446</v>
      </c>
      <c r="O534" s="61">
        <v>8.3539120367700157</v>
      </c>
      <c r="P534" s="60"/>
      <c r="Q534" s="15" t="s">
        <v>173</v>
      </c>
      <c r="R534" s="9">
        <v>5.6279968585600004</v>
      </c>
      <c r="S534" s="15" t="s">
        <v>127</v>
      </c>
      <c r="T534" s="9">
        <v>7.7849960732000003</v>
      </c>
      <c r="U534" s="15" t="s">
        <v>127</v>
      </c>
      <c r="V534" s="9">
        <v>10</v>
      </c>
      <c r="W534" s="80" t="s">
        <v>1490</v>
      </c>
      <c r="X534" s="9">
        <v>49.208300610000002</v>
      </c>
      <c r="Y534" s="290" t="s">
        <v>182</v>
      </c>
      <c r="Z534" s="9">
        <v>15.826656195200002</v>
      </c>
      <c r="AA534" s="15" t="s">
        <v>127</v>
      </c>
      <c r="AB534" s="51" t="s">
        <v>182</v>
      </c>
      <c r="AC534" s="9">
        <v>10.465549447200001</v>
      </c>
      <c r="AD534" s="64" t="s">
        <v>127</v>
      </c>
      <c r="AE534" s="80" t="s">
        <v>1490</v>
      </c>
      <c r="AF534" s="9">
        <v>9.0859052552577335</v>
      </c>
      <c r="AG534" s="15" t="s">
        <v>173</v>
      </c>
      <c r="AH534" s="51" t="s">
        <v>182</v>
      </c>
      <c r="AI534" s="9">
        <v>7.9654852683294131</v>
      </c>
      <c r="AJ534" s="15" t="s">
        <v>127</v>
      </c>
      <c r="AK534" s="80" t="s">
        <v>1492</v>
      </c>
      <c r="AL534" s="9">
        <v>7.6193137195454534</v>
      </c>
      <c r="AM534" s="15" t="s">
        <v>173</v>
      </c>
      <c r="AN534" s="71" t="s">
        <v>1490</v>
      </c>
      <c r="AO534" s="9">
        <v>7.2288116731588792</v>
      </c>
      <c r="AP534" s="60"/>
      <c r="AQ534" s="15" t="s">
        <v>173</v>
      </c>
      <c r="AR534" s="9">
        <v>4.7602474475800003</v>
      </c>
      <c r="AS534" s="15" t="s">
        <v>127</v>
      </c>
      <c r="AT534" s="9">
        <v>3.256148468548</v>
      </c>
      <c r="AU534" s="64" t="s">
        <v>173</v>
      </c>
      <c r="AV534" s="9">
        <v>2.6666666666666998</v>
      </c>
      <c r="AW534" s="71" t="s">
        <v>1490</v>
      </c>
      <c r="AX534" s="9">
        <v>63.670790793000002</v>
      </c>
      <c r="AY534" s="290" t="s">
        <v>182</v>
      </c>
      <c r="AZ534" s="9">
        <v>1.0437038493400002</v>
      </c>
      <c r="BA534" s="64" t="s">
        <v>127</v>
      </c>
      <c r="BB534" s="290" t="s">
        <v>182</v>
      </c>
      <c r="BC534" s="9">
        <v>5.1560629683778947</v>
      </c>
      <c r="BD534" s="64" t="s">
        <v>127</v>
      </c>
      <c r="BE534" s="80" t="s">
        <v>1490</v>
      </c>
      <c r="BF534" s="9">
        <v>4.7296763301200002</v>
      </c>
      <c r="BG534" s="64" t="s">
        <v>173</v>
      </c>
      <c r="BH534" s="51" t="s">
        <v>182</v>
      </c>
      <c r="BI534" s="9">
        <v>4.1678803660491335</v>
      </c>
      <c r="BJ534" s="15" t="s">
        <v>127</v>
      </c>
      <c r="BK534" s="80" t="s">
        <v>1492</v>
      </c>
      <c r="BL534" s="9">
        <v>3.8947936699623811</v>
      </c>
      <c r="BM534" s="15" t="s">
        <v>173</v>
      </c>
      <c r="BN534" s="80" t="s">
        <v>1490</v>
      </c>
      <c r="BO534" s="9">
        <v>3.5894601699612902</v>
      </c>
    </row>
    <row r="535" spans="1:67" x14ac:dyDescent="0.45">
      <c r="A535" s="10">
        <v>507</v>
      </c>
      <c r="B535" s="10" t="s">
        <v>434</v>
      </c>
      <c r="C535" s="64" t="s">
        <v>1889</v>
      </c>
      <c r="D535" s="65"/>
      <c r="E535" s="58" t="s">
        <v>1903</v>
      </c>
      <c r="F535" s="77"/>
      <c r="G535" s="77" t="s">
        <v>1888</v>
      </c>
      <c r="H535" s="10"/>
      <c r="I535" s="62">
        <v>126.44800160000001</v>
      </c>
      <c r="J535" s="62">
        <v>111.43230141000001</v>
      </c>
      <c r="K535" s="62">
        <v>140.67340178000001</v>
      </c>
      <c r="L535" s="49">
        <v>1583.1552848113856</v>
      </c>
      <c r="M535" s="49">
        <v>1577.9383813034694</v>
      </c>
      <c r="N535" s="49">
        <v>1573.7772387661325</v>
      </c>
      <c r="O535" s="61">
        <v>14.103927776466866</v>
      </c>
      <c r="P535" s="60"/>
      <c r="Q535" s="15" t="s">
        <v>173</v>
      </c>
      <c r="R535" s="9">
        <v>7.0695040768000004</v>
      </c>
      <c r="S535" s="68" t="s">
        <v>273</v>
      </c>
      <c r="T535" s="9">
        <v>8.3224000800000013</v>
      </c>
      <c r="U535" s="68" t="s">
        <v>273</v>
      </c>
      <c r="V535" s="9">
        <v>12</v>
      </c>
      <c r="W535" s="80" t="s">
        <v>1490</v>
      </c>
      <c r="X535" s="9">
        <v>64.224000799999999</v>
      </c>
      <c r="Y535" s="290" t="s">
        <v>182</v>
      </c>
      <c r="Z535" s="9">
        <v>20.631680256000003</v>
      </c>
      <c r="AA535" s="68" t="s">
        <v>273</v>
      </c>
      <c r="AB535" s="14" t="s">
        <v>84</v>
      </c>
      <c r="AC535" s="9">
        <v>13.100698262264153</v>
      </c>
      <c r="AD535" s="77" t="s">
        <v>273</v>
      </c>
      <c r="AE535" s="290" t="s">
        <v>182</v>
      </c>
      <c r="AF535" s="9">
        <v>12.938380146</v>
      </c>
      <c r="AG535" s="68" t="s">
        <v>273</v>
      </c>
      <c r="AH535" s="71" t="s">
        <v>1490</v>
      </c>
      <c r="AI535" s="9">
        <v>11.154210654135339</v>
      </c>
      <c r="AJ535" s="15" t="s">
        <v>173</v>
      </c>
      <c r="AK535" s="65" t="s">
        <v>84</v>
      </c>
      <c r="AL535" s="9">
        <v>10.477429337528092</v>
      </c>
      <c r="AM535" s="15" t="s">
        <v>173</v>
      </c>
      <c r="AN535" s="51" t="s">
        <v>182</v>
      </c>
      <c r="AO535" s="9">
        <v>10.226673061647059</v>
      </c>
      <c r="AP535" s="60"/>
      <c r="AQ535" s="15" t="s">
        <v>173</v>
      </c>
      <c r="AR535" s="9">
        <v>5.931472062400001</v>
      </c>
      <c r="AS535" s="68" t="s">
        <v>273</v>
      </c>
      <c r="AT535" s="9">
        <v>3.4657360312000005</v>
      </c>
      <c r="AU535" s="77" t="s">
        <v>273</v>
      </c>
      <c r="AV535" s="9">
        <v>3</v>
      </c>
      <c r="AW535" s="71" t="s">
        <v>1490</v>
      </c>
      <c r="AX535" s="9">
        <v>83.19120104000001</v>
      </c>
      <c r="AY535" s="290" t="s">
        <v>182</v>
      </c>
      <c r="AZ535" s="9">
        <v>1.3631287442909092</v>
      </c>
      <c r="BA535" s="77" t="s">
        <v>273</v>
      </c>
      <c r="BB535" s="290" t="s">
        <v>182</v>
      </c>
      <c r="BC535" s="9">
        <v>7.1643400780000013</v>
      </c>
      <c r="BD535" s="77" t="s">
        <v>273</v>
      </c>
      <c r="BE535" s="65" t="s">
        <v>84</v>
      </c>
      <c r="BF535" s="9">
        <v>6.8708000742857154</v>
      </c>
      <c r="BG535" s="77" t="s">
        <v>273</v>
      </c>
      <c r="BH535" s="71" t="s">
        <v>1490</v>
      </c>
      <c r="BI535" s="9">
        <v>6.3473793447710847</v>
      </c>
      <c r="BJ535" s="15" t="s">
        <v>173</v>
      </c>
      <c r="BK535" s="290" t="s">
        <v>182</v>
      </c>
      <c r="BL535" s="9">
        <v>5.3526451498265901</v>
      </c>
      <c r="BM535" s="15" t="s">
        <v>173</v>
      </c>
      <c r="BN535" s="65" t="s">
        <v>84</v>
      </c>
      <c r="BO535" s="9">
        <v>5.0833243150638312</v>
      </c>
    </row>
    <row r="536" spans="1:67" x14ac:dyDescent="0.45">
      <c r="A536" s="10">
        <v>508</v>
      </c>
      <c r="B536" s="10" t="s">
        <v>174</v>
      </c>
      <c r="C536" s="64" t="s">
        <v>1889</v>
      </c>
      <c r="D536" s="65"/>
      <c r="E536" s="58" t="s">
        <v>1903</v>
      </c>
      <c r="F536" s="77"/>
      <c r="G536" s="77" t="s">
        <v>1888</v>
      </c>
      <c r="H536" s="10"/>
      <c r="I536" s="62">
        <v>174.65630221000001</v>
      </c>
      <c r="J536" s="62">
        <v>155.68910197000002</v>
      </c>
      <c r="K536" s="62">
        <v>168.33390213000001</v>
      </c>
      <c r="L536" s="49">
        <v>2827.4775370764651</v>
      </c>
      <c r="M536" s="49">
        <v>2756.8261335958714</v>
      </c>
      <c r="N536" s="49">
        <v>2701.5782302276557</v>
      </c>
      <c r="O536" s="61">
        <v>22.677166384152589</v>
      </c>
      <c r="P536" s="60"/>
      <c r="Q536" s="74" t="s">
        <v>1510</v>
      </c>
      <c r="R536" s="9">
        <v>11.479378132600001</v>
      </c>
      <c r="S536" s="68" t="s">
        <v>273</v>
      </c>
      <c r="T536" s="9">
        <v>10.732815110500001</v>
      </c>
      <c r="U536" s="74" t="s">
        <v>1510</v>
      </c>
      <c r="V536" s="9">
        <v>13.333</v>
      </c>
      <c r="W536" s="65" t="s">
        <v>2422</v>
      </c>
      <c r="X536" s="9">
        <v>79.595335994500005</v>
      </c>
      <c r="Y536" s="290" t="s">
        <v>94</v>
      </c>
      <c r="Z536" s="9">
        <v>30.613590767115387</v>
      </c>
      <c r="AA536" s="68" t="s">
        <v>273</v>
      </c>
      <c r="AB536" s="51" t="s">
        <v>94</v>
      </c>
      <c r="AC536" s="9">
        <v>18.371733835701971</v>
      </c>
      <c r="AD536" s="77" t="s">
        <v>273</v>
      </c>
      <c r="AE536" s="65" t="s">
        <v>84</v>
      </c>
      <c r="AF536" s="9">
        <v>17.591801738903303</v>
      </c>
      <c r="AG536" s="74" t="s">
        <v>1510</v>
      </c>
      <c r="AH536" s="51" t="s">
        <v>94</v>
      </c>
      <c r="AI536" s="9">
        <v>17.054138791496065</v>
      </c>
      <c r="AJ536" s="74" t="s">
        <v>1510</v>
      </c>
      <c r="AK536" s="65" t="s">
        <v>84</v>
      </c>
      <c r="AL536" s="9">
        <v>16.284779146766915</v>
      </c>
      <c r="AM536" s="68" t="s">
        <v>273</v>
      </c>
      <c r="AN536" s="67" t="s">
        <v>91</v>
      </c>
      <c r="AO536" s="9">
        <v>15.380812820148698</v>
      </c>
      <c r="AP536" s="60"/>
      <c r="AQ536" s="74" t="s">
        <v>1510</v>
      </c>
      <c r="AR536" s="9">
        <v>10.08212771492</v>
      </c>
      <c r="AS536" s="74" t="s">
        <v>1510</v>
      </c>
      <c r="AT536" s="9">
        <v>5.0410638574600002</v>
      </c>
      <c r="AU536" s="77" t="s">
        <v>273</v>
      </c>
      <c r="AV536" s="9">
        <v>3</v>
      </c>
      <c r="AW536" s="14" t="s">
        <v>2491</v>
      </c>
      <c r="AX536" s="9">
        <v>103.17393679285001</v>
      </c>
      <c r="AY536" s="290" t="s">
        <v>94</v>
      </c>
      <c r="AZ536" s="9">
        <v>2.0634787358570001</v>
      </c>
      <c r="BA536" s="77" t="s">
        <v>273</v>
      </c>
      <c r="BB536" s="290" t="s">
        <v>94</v>
      </c>
      <c r="BC536" s="9">
        <v>9.9964472647792455</v>
      </c>
      <c r="BD536" s="291" t="s">
        <v>1510</v>
      </c>
      <c r="BE536" s="290" t="s">
        <v>94</v>
      </c>
      <c r="BF536" s="9">
        <v>9.714057806764286</v>
      </c>
      <c r="BG536" s="77" t="s">
        <v>273</v>
      </c>
      <c r="BH536" s="67" t="s">
        <v>91</v>
      </c>
      <c r="BI536" s="9">
        <v>9.159724118873438</v>
      </c>
      <c r="BJ536" s="68" t="s">
        <v>273</v>
      </c>
      <c r="BK536" s="65" t="s">
        <v>84</v>
      </c>
      <c r="BL536" s="9">
        <v>9.1090426026071434</v>
      </c>
      <c r="BM536" s="74" t="s">
        <v>1510</v>
      </c>
      <c r="BN536" s="76" t="s">
        <v>91</v>
      </c>
      <c r="BO536" s="9">
        <v>9.0109351020963171</v>
      </c>
    </row>
    <row r="537" spans="1:67" x14ac:dyDescent="0.45">
      <c r="A537" s="10">
        <v>509</v>
      </c>
      <c r="B537" s="10" t="s">
        <v>430</v>
      </c>
      <c r="C537" s="76" t="s">
        <v>1891</v>
      </c>
      <c r="D537" s="65"/>
      <c r="E537" s="58" t="s">
        <v>2234</v>
      </c>
      <c r="F537" s="77" t="s">
        <v>2167</v>
      </c>
      <c r="G537" s="242" t="s">
        <v>1925</v>
      </c>
      <c r="H537" s="10"/>
      <c r="I537" s="62">
        <v>89.30390113</v>
      </c>
      <c r="J537" s="62">
        <v>69.546400880000007</v>
      </c>
      <c r="K537" s="62">
        <v>107.48080136</v>
      </c>
      <c r="L537" s="49">
        <v>772.09938870943483</v>
      </c>
      <c r="M537" s="49">
        <v>763.80762729144317</v>
      </c>
      <c r="N537" s="49">
        <v>757.23837820948461</v>
      </c>
      <c r="O537" s="61">
        <v>6.9888533046682397</v>
      </c>
      <c r="P537" s="60"/>
      <c r="Q537" s="67" t="s">
        <v>266</v>
      </c>
      <c r="R537" s="9">
        <v>4.75076384746</v>
      </c>
      <c r="S537" s="15" t="s">
        <v>1489</v>
      </c>
      <c r="T537" s="9">
        <v>7.3582340677999998</v>
      </c>
      <c r="U537" s="67" t="s">
        <v>266</v>
      </c>
      <c r="V537" s="9">
        <v>11.429</v>
      </c>
      <c r="W537" s="76" t="s">
        <v>160</v>
      </c>
      <c r="X537" s="9">
        <v>43.865872542399998</v>
      </c>
      <c r="Y537" s="76" t="s">
        <v>160</v>
      </c>
      <c r="Z537" s="9">
        <v>14.621957514133333</v>
      </c>
      <c r="AA537" s="67" t="s">
        <v>266</v>
      </c>
      <c r="AB537" s="67" t="s">
        <v>160</v>
      </c>
      <c r="AC537" s="9">
        <v>9.9739859781728821</v>
      </c>
      <c r="AD537" s="76" t="s">
        <v>266</v>
      </c>
      <c r="AE537" s="65" t="s">
        <v>84</v>
      </c>
      <c r="AF537" s="9">
        <v>9.7428219319759464</v>
      </c>
      <c r="AG537" s="15" t="s">
        <v>1489</v>
      </c>
      <c r="AH537" s="67" t="s">
        <v>160</v>
      </c>
      <c r="AI537" s="9">
        <v>9.71403626661081</v>
      </c>
      <c r="AJ537" s="15" t="s">
        <v>1489</v>
      </c>
      <c r="AK537" s="65" t="s">
        <v>84</v>
      </c>
      <c r="AL537" s="9">
        <v>9.5274009215573763</v>
      </c>
      <c r="AM537" s="67" t="s">
        <v>266</v>
      </c>
      <c r="AN537" s="67" t="s">
        <v>1491</v>
      </c>
      <c r="AO537" s="9">
        <v>9.3001992905700313</v>
      </c>
      <c r="AP537" s="60"/>
      <c r="AQ537" s="67" t="s">
        <v>266</v>
      </c>
      <c r="AR537" s="9">
        <v>4.4828521440699998</v>
      </c>
      <c r="AS537" s="15" t="s">
        <v>1489</v>
      </c>
      <c r="AT537" s="9">
        <v>3.32190142938</v>
      </c>
      <c r="AU537" s="76" t="s">
        <v>266</v>
      </c>
      <c r="AV537" s="9">
        <v>3.5</v>
      </c>
      <c r="AW537" s="67" t="s">
        <v>160</v>
      </c>
      <c r="AX537" s="9">
        <v>56.725634305120003</v>
      </c>
      <c r="AY537" s="76" t="s">
        <v>160</v>
      </c>
      <c r="AZ537" s="9">
        <v>1.1345126861024</v>
      </c>
      <c r="BA537" s="76" t="s">
        <v>266</v>
      </c>
      <c r="BB537" s="76" t="s">
        <v>160</v>
      </c>
      <c r="BC537" s="9">
        <v>5.8058135265358874</v>
      </c>
      <c r="BD537" s="64" t="s">
        <v>1489</v>
      </c>
      <c r="BE537" s="76" t="s">
        <v>160</v>
      </c>
      <c r="BF537" s="9">
        <v>5.3758911553699997</v>
      </c>
      <c r="BG537" s="76" t="s">
        <v>266</v>
      </c>
      <c r="BH537" s="67" t="s">
        <v>1491</v>
      </c>
      <c r="BI537" s="9">
        <v>5.2947983782772727</v>
      </c>
      <c r="BJ537" s="15" t="s">
        <v>1489</v>
      </c>
      <c r="BK537" s="76" t="s">
        <v>1491</v>
      </c>
      <c r="BL537" s="9">
        <v>5.0790160245864868</v>
      </c>
      <c r="BM537" s="67" t="s">
        <v>266</v>
      </c>
      <c r="BN537" s="65" t="s">
        <v>84</v>
      </c>
      <c r="BO537" s="9">
        <v>5.0525244391460626</v>
      </c>
    </row>
    <row r="538" spans="1:67" x14ac:dyDescent="0.45">
      <c r="A538" s="10">
        <v>510</v>
      </c>
      <c r="B538" s="10" t="s">
        <v>162</v>
      </c>
      <c r="C538" s="76" t="s">
        <v>1891</v>
      </c>
      <c r="D538" s="65"/>
      <c r="E538" s="58" t="s">
        <v>2234</v>
      </c>
      <c r="F538" s="77" t="s">
        <v>2167</v>
      </c>
      <c r="G538" s="242" t="s">
        <v>1925</v>
      </c>
      <c r="H538" s="10"/>
      <c r="I538" s="62">
        <v>159.64060202000002</v>
      </c>
      <c r="J538" s="62">
        <v>95.626301210000008</v>
      </c>
      <c r="K538" s="62">
        <v>139.88310177</v>
      </c>
      <c r="L538" s="49">
        <v>1846.3526865011377</v>
      </c>
      <c r="M538" s="49">
        <v>1658.2778976585589</v>
      </c>
      <c r="N538" s="49">
        <v>1521.7083790225563</v>
      </c>
      <c r="O538" s="61">
        <v>12.209001928188666</v>
      </c>
      <c r="P538" s="60"/>
      <c r="Q538" s="14" t="s">
        <v>161</v>
      </c>
      <c r="R538" s="9">
        <v>16.964060202000002</v>
      </c>
      <c r="S538" s="67" t="s">
        <v>20</v>
      </c>
      <c r="T538" s="9">
        <v>11.358293950399998</v>
      </c>
      <c r="U538" s="67" t="s">
        <v>20</v>
      </c>
      <c r="V538" s="9">
        <v>12.727</v>
      </c>
      <c r="W538" s="63" t="s">
        <v>251</v>
      </c>
      <c r="X538" s="9">
        <v>104.76639131300001</v>
      </c>
      <c r="Y538" s="63" t="s">
        <v>251</v>
      </c>
      <c r="Z538" s="9">
        <v>33.795610100967743</v>
      </c>
      <c r="AA538" s="67" t="s">
        <v>20</v>
      </c>
      <c r="AB538" s="67" t="s">
        <v>160</v>
      </c>
      <c r="AC538" s="9">
        <v>17.644237245839175</v>
      </c>
      <c r="AD538" s="76" t="s">
        <v>20</v>
      </c>
      <c r="AE538" s="63" t="s">
        <v>251</v>
      </c>
      <c r="AF538" s="9">
        <v>17.203309082060503</v>
      </c>
      <c r="AG538" s="67" t="s">
        <v>20</v>
      </c>
      <c r="AH538" s="14" t="s">
        <v>84</v>
      </c>
      <c r="AI538" s="9">
        <v>17.201275732196653</v>
      </c>
      <c r="AJ538" s="14" t="s">
        <v>161</v>
      </c>
      <c r="AK538" s="76" t="s">
        <v>160</v>
      </c>
      <c r="AL538" s="9">
        <v>15.760235081162966</v>
      </c>
      <c r="AM538" s="14" t="s">
        <v>161</v>
      </c>
      <c r="AN538" s="14" t="s">
        <v>84</v>
      </c>
      <c r="AO538" s="9">
        <v>15.429597662291863</v>
      </c>
      <c r="AP538" s="60"/>
      <c r="AQ538" s="14" t="s">
        <v>161</v>
      </c>
      <c r="AR538" s="9">
        <v>17.602622610080001</v>
      </c>
      <c r="AS538" s="14" t="s">
        <v>161</v>
      </c>
      <c r="AT538" s="9">
        <v>5.8675408700266667</v>
      </c>
      <c r="AU538" s="76" t="s">
        <v>20</v>
      </c>
      <c r="AV538" s="9">
        <v>4.3333333333333002</v>
      </c>
      <c r="AW538" s="54" t="s">
        <v>251</v>
      </c>
      <c r="AX538" s="9">
        <v>135.89630870690002</v>
      </c>
      <c r="AY538" s="76" t="s">
        <v>160</v>
      </c>
      <c r="AZ538" s="9">
        <v>2.0123147132096002</v>
      </c>
      <c r="BA538" s="76" t="s">
        <v>20</v>
      </c>
      <c r="BB538" s="76" t="s">
        <v>160</v>
      </c>
      <c r="BC538" s="9">
        <v>10.241127224081229</v>
      </c>
      <c r="BD538" s="76" t="s">
        <v>20</v>
      </c>
      <c r="BE538" s="63" t="s">
        <v>251</v>
      </c>
      <c r="BF538" s="9">
        <v>9.7000032525134472</v>
      </c>
      <c r="BG538" s="65" t="s">
        <v>161</v>
      </c>
      <c r="BH538" s="67" t="s">
        <v>160</v>
      </c>
      <c r="BI538" s="9">
        <v>9.5117022081210258</v>
      </c>
      <c r="BJ538" s="14" t="s">
        <v>161</v>
      </c>
      <c r="BK538" s="63" t="s">
        <v>251</v>
      </c>
      <c r="BL538" s="9">
        <v>9.2449114631922082</v>
      </c>
      <c r="BM538" s="14" t="s">
        <v>161</v>
      </c>
      <c r="BN538" s="65" t="s">
        <v>84</v>
      </c>
      <c r="BO538" s="9">
        <v>8.7230960736290335</v>
      </c>
    </row>
    <row r="539" spans="1:67" x14ac:dyDescent="0.45">
      <c r="A539" s="10">
        <v>511</v>
      </c>
      <c r="B539" s="10" t="s">
        <v>425</v>
      </c>
      <c r="C539" s="79" t="s">
        <v>1983</v>
      </c>
      <c r="D539" s="65"/>
      <c r="E539" s="63" t="s">
        <v>2265</v>
      </c>
      <c r="F539" s="80" t="s">
        <v>2266</v>
      </c>
      <c r="G539" s="242"/>
      <c r="H539" s="10"/>
      <c r="I539" s="62">
        <v>94.045701190000003</v>
      </c>
      <c r="J539" s="62">
        <v>86.142701090000003</v>
      </c>
      <c r="K539" s="62">
        <v>120.12560152</v>
      </c>
      <c r="L539" s="49">
        <v>956.6784235351663</v>
      </c>
      <c r="M539" s="49">
        <v>982.03885903965306</v>
      </c>
      <c r="N539" s="49">
        <v>1002.8103972760306</v>
      </c>
      <c r="O539" s="61">
        <v>9.5272414707654143</v>
      </c>
      <c r="P539" s="60"/>
      <c r="Q539" s="72" t="s">
        <v>24</v>
      </c>
      <c r="R539" s="9">
        <v>4.9499194499800003</v>
      </c>
      <c r="S539" s="72" t="s">
        <v>24</v>
      </c>
      <c r="T539" s="9">
        <v>8.2498657499666681</v>
      </c>
      <c r="U539" s="72" t="s">
        <v>24</v>
      </c>
      <c r="V539" s="9">
        <v>10</v>
      </c>
      <c r="W539" s="79" t="s">
        <v>33</v>
      </c>
      <c r="X539" s="9">
        <v>51.784678642599999</v>
      </c>
      <c r="Y539" s="79" t="s">
        <v>264</v>
      </c>
      <c r="Z539" s="9">
        <v>15.254800663190476</v>
      </c>
      <c r="AA539" s="72" t="s">
        <v>24</v>
      </c>
      <c r="AB539" s="72" t="s">
        <v>264</v>
      </c>
      <c r="AC539" s="9">
        <v>10.957294581458077</v>
      </c>
      <c r="AD539" s="79" t="s">
        <v>24</v>
      </c>
      <c r="AE539" s="79" t="s">
        <v>33</v>
      </c>
      <c r="AF539" s="9">
        <v>10.453259257576779</v>
      </c>
      <c r="AG539" s="15" t="s">
        <v>1489</v>
      </c>
      <c r="AH539" s="72" t="s">
        <v>264</v>
      </c>
      <c r="AI539" s="9">
        <v>10.193591493117021</v>
      </c>
      <c r="AJ539" s="15" t="s">
        <v>1489</v>
      </c>
      <c r="AK539" s="79" t="s">
        <v>33</v>
      </c>
      <c r="AL539" s="9">
        <v>9.8080607476699502</v>
      </c>
      <c r="AM539" s="72" t="s">
        <v>24</v>
      </c>
      <c r="AN539" s="67" t="s">
        <v>91</v>
      </c>
      <c r="AO539" s="9">
        <v>9.4003389667942177</v>
      </c>
      <c r="AP539" s="60"/>
      <c r="AQ539" s="72" t="s">
        <v>24</v>
      </c>
      <c r="AR539" s="9">
        <v>4.6677823464100001</v>
      </c>
      <c r="AS539" s="15" t="s">
        <v>1489</v>
      </c>
      <c r="AT539" s="9">
        <v>3.4451882309400004</v>
      </c>
      <c r="AU539" s="79" t="s">
        <v>24</v>
      </c>
      <c r="AV539" s="9">
        <v>4</v>
      </c>
      <c r="AW539" s="72" t="s">
        <v>33</v>
      </c>
      <c r="AX539" s="9">
        <v>67.020082235380002</v>
      </c>
      <c r="AY539" s="79" t="s">
        <v>33</v>
      </c>
      <c r="AZ539" s="9">
        <v>1.1170013705896666</v>
      </c>
      <c r="BA539" s="79" t="s">
        <v>24</v>
      </c>
      <c r="BB539" s="79" t="s">
        <v>33</v>
      </c>
      <c r="BC539" s="9">
        <v>6.3767781145909375</v>
      </c>
      <c r="BD539" s="79" t="s">
        <v>24</v>
      </c>
      <c r="BE539" s="79" t="s">
        <v>264</v>
      </c>
      <c r="BF539" s="9">
        <v>5.8804106856872727</v>
      </c>
      <c r="BG539" s="79" t="s">
        <v>24</v>
      </c>
      <c r="BH539" s="67" t="s">
        <v>91</v>
      </c>
      <c r="BI539" s="9">
        <v>5.7181281420413264</v>
      </c>
      <c r="BJ539" s="15" t="s">
        <v>1489</v>
      </c>
      <c r="BK539" s="79" t="s">
        <v>33</v>
      </c>
      <c r="BL539" s="9">
        <v>5.4959912633412911</v>
      </c>
      <c r="BM539" s="15" t="s">
        <v>1489</v>
      </c>
      <c r="BN539" s="79" t="s">
        <v>264</v>
      </c>
      <c r="BO539" s="9">
        <v>5.2499700204433335</v>
      </c>
    </row>
    <row r="540" spans="1:67" x14ac:dyDescent="0.45">
      <c r="A540" s="10">
        <v>512</v>
      </c>
      <c r="B540" s="10" t="s">
        <v>422</v>
      </c>
      <c r="C540" s="79" t="s">
        <v>1983</v>
      </c>
      <c r="D540" s="65"/>
      <c r="E540" s="63" t="s">
        <v>2265</v>
      </c>
      <c r="F540" s="80" t="s">
        <v>2266</v>
      </c>
      <c r="G540" s="242"/>
      <c r="H540" s="10"/>
      <c r="I540" s="62">
        <v>174.65630221000001</v>
      </c>
      <c r="J540" s="62">
        <v>116.96440148000001</v>
      </c>
      <c r="K540" s="62">
        <v>154.89880196000001</v>
      </c>
      <c r="L540" s="49">
        <v>2350.9053371167479</v>
      </c>
      <c r="M540" s="49">
        <v>2155.3808262559478</v>
      </c>
      <c r="N540" s="49">
        <v>2010.7362786667272</v>
      </c>
      <c r="O540" s="61">
        <v>16.22043248398446</v>
      </c>
      <c r="P540" s="60"/>
      <c r="Q540" s="72" t="s">
        <v>24</v>
      </c>
      <c r="R540" s="9">
        <v>8.3355646928200002</v>
      </c>
      <c r="S540" s="72" t="s">
        <v>24</v>
      </c>
      <c r="T540" s="9">
        <v>13.892607821366667</v>
      </c>
      <c r="U540" s="72" t="s">
        <v>24</v>
      </c>
      <c r="V540" s="9">
        <v>10</v>
      </c>
      <c r="W540" s="79" t="s">
        <v>9</v>
      </c>
      <c r="X540" s="9">
        <v>189.62880638679999</v>
      </c>
      <c r="Y540" s="79" t="s">
        <v>9</v>
      </c>
      <c r="Z540" s="9">
        <v>38.699756405469387</v>
      </c>
      <c r="AA540" s="72" t="s">
        <v>24</v>
      </c>
      <c r="AB540" s="72" t="s">
        <v>9</v>
      </c>
      <c r="AC540" s="9">
        <v>21.942609679784105</v>
      </c>
      <c r="AD540" s="79" t="s">
        <v>24</v>
      </c>
      <c r="AE540" s="79" t="s">
        <v>23</v>
      </c>
      <c r="AF540" s="9">
        <v>21.681242407925438</v>
      </c>
      <c r="AG540" s="67" t="s">
        <v>66</v>
      </c>
      <c r="AH540" s="72" t="s">
        <v>9</v>
      </c>
      <c r="AI540" s="9">
        <v>19.863277761166671</v>
      </c>
      <c r="AJ540" s="67" t="s">
        <v>66</v>
      </c>
      <c r="AK540" s="79" t="s">
        <v>23</v>
      </c>
      <c r="AL540" s="9">
        <v>19.583109211542375</v>
      </c>
      <c r="AM540" s="72" t="s">
        <v>24</v>
      </c>
      <c r="AN540" s="67" t="s">
        <v>91</v>
      </c>
      <c r="AO540" s="9">
        <v>16.597714057865645</v>
      </c>
      <c r="AP540" s="60"/>
      <c r="AQ540" s="72" t="s">
        <v>24</v>
      </c>
      <c r="AR540" s="9">
        <v>7.8115957861900007</v>
      </c>
      <c r="AS540" s="67" t="s">
        <v>66</v>
      </c>
      <c r="AT540" s="9">
        <v>5.5410638574600002</v>
      </c>
      <c r="AU540" s="79" t="s">
        <v>24</v>
      </c>
      <c r="AV540" s="9">
        <v>4</v>
      </c>
      <c r="AW540" s="72" t="s">
        <v>9</v>
      </c>
      <c r="AX540" s="9">
        <v>205.34787358570003</v>
      </c>
      <c r="AY540" s="79" t="s">
        <v>9</v>
      </c>
      <c r="AZ540" s="9">
        <v>2.5668484198212504</v>
      </c>
      <c r="BA540" s="79" t="s">
        <v>24</v>
      </c>
      <c r="BB540" s="79" t="s">
        <v>9</v>
      </c>
      <c r="BC540" s="9">
        <v>13.498277687980956</v>
      </c>
      <c r="BD540" s="79" t="s">
        <v>24</v>
      </c>
      <c r="BE540" s="79" t="s">
        <v>23</v>
      </c>
      <c r="BF540" s="9">
        <v>12.772681319637593</v>
      </c>
      <c r="BG540" s="76" t="s">
        <v>66</v>
      </c>
      <c r="BH540" s="72" t="s">
        <v>9</v>
      </c>
      <c r="BI540" s="9">
        <v>10.4144006801</v>
      </c>
      <c r="BJ540" s="72" t="s">
        <v>24</v>
      </c>
      <c r="BK540" s="76" t="s">
        <v>91</v>
      </c>
      <c r="BL540" s="9">
        <v>10.155823983907654</v>
      </c>
      <c r="BM540" s="67" t="s">
        <v>66</v>
      </c>
      <c r="BN540" s="79" t="s">
        <v>23</v>
      </c>
      <c r="BO540" s="9">
        <v>10.082127714920002</v>
      </c>
    </row>
    <row r="541" spans="1:67" x14ac:dyDescent="0.45">
      <c r="A541" s="10">
        <v>513</v>
      </c>
      <c r="B541" s="10" t="s">
        <v>419</v>
      </c>
      <c r="C541" s="75" t="s">
        <v>1976</v>
      </c>
      <c r="D541" s="65"/>
      <c r="E541" s="80" t="s">
        <v>2198</v>
      </c>
      <c r="F541" s="289" t="s">
        <v>2199</v>
      </c>
      <c r="G541" s="242"/>
      <c r="H541" s="10"/>
      <c r="I541" s="62">
        <v>94.045701190000003</v>
      </c>
      <c r="J541" s="62">
        <v>86.142701090000003</v>
      </c>
      <c r="K541" s="62">
        <v>120.12560152</v>
      </c>
      <c r="L541" s="49">
        <v>956.6784235351663</v>
      </c>
      <c r="M541" s="49">
        <v>982.03885903965306</v>
      </c>
      <c r="N541" s="49">
        <v>1002.8103972760306</v>
      </c>
      <c r="O541" s="61">
        <v>9.5272414707654143</v>
      </c>
      <c r="P541" s="60"/>
      <c r="Q541" s="70" t="s">
        <v>36</v>
      </c>
      <c r="R541" s="9">
        <v>8.8998388999600007</v>
      </c>
      <c r="S541" s="70" t="s">
        <v>36</v>
      </c>
      <c r="T541" s="9">
        <v>8.0907626363272733</v>
      </c>
      <c r="U541" s="70" t="s">
        <v>36</v>
      </c>
      <c r="V541" s="9">
        <v>9.0909999999999993</v>
      </c>
      <c r="W541" s="75" t="s">
        <v>2408</v>
      </c>
      <c r="X541" s="9">
        <v>40.499194499799998</v>
      </c>
      <c r="Y541" s="75" t="s">
        <v>280</v>
      </c>
      <c r="Z541" s="9">
        <v>15.576613269153844</v>
      </c>
      <c r="AA541" s="70" t="s">
        <v>36</v>
      </c>
      <c r="AB541" s="70" t="s">
        <v>280</v>
      </c>
      <c r="AC541" s="9">
        <v>10.493628271555552</v>
      </c>
      <c r="AD541" s="64" t="s">
        <v>1489</v>
      </c>
      <c r="AE541" s="75" t="s">
        <v>280</v>
      </c>
      <c r="AF541" s="9">
        <v>9.9735968865593225</v>
      </c>
      <c r="AG541" s="70" t="s">
        <v>36</v>
      </c>
      <c r="AH541" s="70" t="s">
        <v>1482</v>
      </c>
      <c r="AI541" s="9">
        <v>9.397141629419643</v>
      </c>
      <c r="AJ541" s="70" t="s">
        <v>36</v>
      </c>
      <c r="AK541" s="76" t="s">
        <v>91</v>
      </c>
      <c r="AL541" s="9">
        <v>9.2595327790825248</v>
      </c>
      <c r="AM541" s="15" t="s">
        <v>1489</v>
      </c>
      <c r="AN541" s="70" t="s">
        <v>1482</v>
      </c>
      <c r="AO541" s="9">
        <v>9.0808309368995825</v>
      </c>
      <c r="AP541" s="60"/>
      <c r="AQ541" s="70" t="s">
        <v>36</v>
      </c>
      <c r="AR541" s="9">
        <v>7.6020082235380002</v>
      </c>
      <c r="AS541" s="15" t="s">
        <v>1489</v>
      </c>
      <c r="AT541" s="9">
        <v>3.4451882309400004</v>
      </c>
      <c r="AU541" s="75" t="s">
        <v>36</v>
      </c>
      <c r="AV541" s="9">
        <v>3.3333333333333002</v>
      </c>
      <c r="AW541" s="70" t="s">
        <v>2407</v>
      </c>
      <c r="AX541" s="9">
        <v>52.348952849740002</v>
      </c>
      <c r="AY541" s="75" t="s">
        <v>1482</v>
      </c>
      <c r="AZ541" s="9">
        <v>1.0469790569948001</v>
      </c>
      <c r="BA541" s="75" t="s">
        <v>36</v>
      </c>
      <c r="BB541" s="75" t="s">
        <v>1482</v>
      </c>
      <c r="BC541" s="9">
        <v>5.6474371229643747</v>
      </c>
      <c r="BD541" s="75" t="s">
        <v>36</v>
      </c>
      <c r="BE541" s="75" t="s">
        <v>280</v>
      </c>
      <c r="BF541" s="9">
        <v>5.3805713188113717</v>
      </c>
      <c r="BG541" s="75" t="s">
        <v>36</v>
      </c>
      <c r="BH541" s="67" t="s">
        <v>91</v>
      </c>
      <c r="BI541" s="9">
        <v>5.3792986929221378</v>
      </c>
      <c r="BJ541" s="15" t="s">
        <v>1489</v>
      </c>
      <c r="BK541" s="75" t="s">
        <v>1482</v>
      </c>
      <c r="BL541" s="9">
        <v>5.3261022547400012</v>
      </c>
      <c r="BM541" s="15" t="s">
        <v>1489</v>
      </c>
      <c r="BN541" s="76" t="s">
        <v>91</v>
      </c>
      <c r="BO541" s="9">
        <v>5.1620225207489367</v>
      </c>
    </row>
    <row r="542" spans="1:67" x14ac:dyDescent="0.45">
      <c r="A542" s="10">
        <v>514</v>
      </c>
      <c r="B542" s="10" t="s">
        <v>416</v>
      </c>
      <c r="C542" s="75" t="s">
        <v>1976</v>
      </c>
      <c r="D542" s="65"/>
      <c r="E542" s="80" t="s">
        <v>2198</v>
      </c>
      <c r="F542" s="289" t="s">
        <v>2199</v>
      </c>
      <c r="G542" s="242"/>
      <c r="H542" s="10"/>
      <c r="I542" s="62">
        <v>174.65630221000001</v>
      </c>
      <c r="J542" s="62">
        <v>116.96440148000001</v>
      </c>
      <c r="K542" s="62">
        <v>154.89880196000001</v>
      </c>
      <c r="L542" s="49">
        <v>2350.9053371167479</v>
      </c>
      <c r="M542" s="49">
        <v>2155.3808262559478</v>
      </c>
      <c r="N542" s="49">
        <v>2010.7362786667272</v>
      </c>
      <c r="O542" s="61">
        <v>16.22043248398446</v>
      </c>
      <c r="P542" s="60"/>
      <c r="Q542" s="70" t="s">
        <v>36</v>
      </c>
      <c r="R542" s="9">
        <v>15.67112938564</v>
      </c>
      <c r="S542" s="70" t="s">
        <v>36</v>
      </c>
      <c r="T542" s="9">
        <v>14.246481259672727</v>
      </c>
      <c r="U542" s="70" t="s">
        <v>36</v>
      </c>
      <c r="V542" s="9">
        <v>9.0909999999999993</v>
      </c>
      <c r="W542" s="75" t="s">
        <v>2371</v>
      </c>
      <c r="X542" s="9">
        <v>74.355646928200002</v>
      </c>
      <c r="Y542" s="75" t="s">
        <v>76</v>
      </c>
      <c r="Z542" s="9">
        <v>33.798021331000001</v>
      </c>
      <c r="AA542" s="70" t="s">
        <v>36</v>
      </c>
      <c r="AB542" s="70" t="s">
        <v>76</v>
      </c>
      <c r="AC542" s="9">
        <v>19.832635565766232</v>
      </c>
      <c r="AD542" s="75" t="s">
        <v>36</v>
      </c>
      <c r="AE542" s="75" t="s">
        <v>280</v>
      </c>
      <c r="AF542" s="9">
        <v>18.853246155111108</v>
      </c>
      <c r="AG542" s="67" t="s">
        <v>66</v>
      </c>
      <c r="AH542" s="70" t="s">
        <v>76</v>
      </c>
      <c r="AI542" s="9">
        <v>18.029794113248521</v>
      </c>
      <c r="AJ542" s="67" t="s">
        <v>66</v>
      </c>
      <c r="AK542" s="75" t="s">
        <v>280</v>
      </c>
      <c r="AL542" s="9">
        <v>17.214888164627119</v>
      </c>
      <c r="AM542" s="70" t="s">
        <v>36</v>
      </c>
      <c r="AN542" s="67" t="s">
        <v>91</v>
      </c>
      <c r="AO542" s="9">
        <v>16.65535976586893</v>
      </c>
      <c r="AP542" s="60"/>
      <c r="AQ542" s="70" t="s">
        <v>36</v>
      </c>
      <c r="AR542" s="9">
        <v>13.260872415142002</v>
      </c>
      <c r="AS542" s="67" t="s">
        <v>66</v>
      </c>
      <c r="AT542" s="9">
        <v>5.5410638574600002</v>
      </c>
      <c r="AU542" s="75" t="s">
        <v>36</v>
      </c>
      <c r="AV542" s="9">
        <v>3.3333333333333002</v>
      </c>
      <c r="AW542" s="70" t="s">
        <v>76</v>
      </c>
      <c r="AX542" s="9">
        <v>123.60872415142001</v>
      </c>
      <c r="AY542" s="75" t="s">
        <v>76</v>
      </c>
      <c r="AZ542" s="9">
        <v>2.2474313482076367</v>
      </c>
      <c r="BA542" s="75" t="s">
        <v>36</v>
      </c>
      <c r="BB542" s="75" t="s">
        <v>76</v>
      </c>
      <c r="BC542" s="9">
        <v>11.231058424840057</v>
      </c>
      <c r="BD542" s="76" t="s">
        <v>66</v>
      </c>
      <c r="BE542" s="75" t="s">
        <v>76</v>
      </c>
      <c r="BF542" s="9">
        <v>9.6837887800550888</v>
      </c>
      <c r="BG542" s="75" t="s">
        <v>36</v>
      </c>
      <c r="BH542" s="70" t="s">
        <v>280</v>
      </c>
      <c r="BI542" s="9">
        <v>9.6741222451394862</v>
      </c>
      <c r="BJ542" s="70" t="s">
        <v>36</v>
      </c>
      <c r="BK542" s="76" t="s">
        <v>91</v>
      </c>
      <c r="BL542" s="9">
        <v>9.6650029912888957</v>
      </c>
      <c r="BM542" s="67" t="s">
        <v>66</v>
      </c>
      <c r="BN542" s="76" t="s">
        <v>91</v>
      </c>
      <c r="BO542" s="9">
        <v>8.7294703956765964</v>
      </c>
    </row>
    <row r="543" spans="1:67" x14ac:dyDescent="0.45">
      <c r="A543" s="10">
        <v>515</v>
      </c>
      <c r="B543" s="10" t="s">
        <v>413</v>
      </c>
      <c r="C543" s="288" t="s">
        <v>1993</v>
      </c>
      <c r="D543" s="65"/>
      <c r="E543" s="290" t="s">
        <v>2201</v>
      </c>
      <c r="F543" s="59" t="s">
        <v>2202</v>
      </c>
      <c r="G543" s="242"/>
      <c r="H543" s="10"/>
      <c r="I543" s="62">
        <v>94.045701190000003</v>
      </c>
      <c r="J543" s="62">
        <v>86.142701090000003</v>
      </c>
      <c r="K543" s="62">
        <v>120.12560152</v>
      </c>
      <c r="L543" s="49">
        <v>956.6784235351663</v>
      </c>
      <c r="M543" s="49">
        <v>982.03885903965306</v>
      </c>
      <c r="N543" s="49">
        <v>1002.8103972760306</v>
      </c>
      <c r="O543" s="61">
        <v>9.5272414707654143</v>
      </c>
      <c r="P543" s="60"/>
      <c r="Q543" s="15" t="s">
        <v>2399</v>
      </c>
      <c r="R543" s="9">
        <v>3.8213710356999999</v>
      </c>
      <c r="S543" s="15" t="s">
        <v>2399</v>
      </c>
      <c r="T543" s="9">
        <v>7.6427420713999998</v>
      </c>
      <c r="U543" s="73" t="s">
        <v>121</v>
      </c>
      <c r="V543" s="9">
        <v>10</v>
      </c>
      <c r="W543" s="288" t="s">
        <v>238</v>
      </c>
      <c r="X543" s="9">
        <v>40.499194499799998</v>
      </c>
      <c r="Y543" s="288" t="s">
        <v>218</v>
      </c>
      <c r="Z543" s="9">
        <v>22.163425567117649</v>
      </c>
      <c r="AA543" s="73" t="s">
        <v>121</v>
      </c>
      <c r="AB543" s="73" t="s">
        <v>218</v>
      </c>
      <c r="AC543" s="9">
        <v>11.327094600164179</v>
      </c>
      <c r="AD543" s="64" t="s">
        <v>1489</v>
      </c>
      <c r="AE543" s="288" t="s">
        <v>218</v>
      </c>
      <c r="AF543" s="9">
        <v>10.747793888094339</v>
      </c>
      <c r="AG543" s="73" t="s">
        <v>121</v>
      </c>
      <c r="AH543" s="73" t="s">
        <v>238</v>
      </c>
      <c r="AI543" s="9">
        <v>9.599134738634147</v>
      </c>
      <c r="AJ543" s="15" t="s">
        <v>1489</v>
      </c>
      <c r="AK543" s="288" t="s">
        <v>238</v>
      </c>
      <c r="AL543" s="9">
        <v>9.340352639793652</v>
      </c>
      <c r="AM543" s="73" t="s">
        <v>121</v>
      </c>
      <c r="AN543" s="67" t="s">
        <v>91</v>
      </c>
      <c r="AO543" s="9">
        <v>9.0905819879336747</v>
      </c>
      <c r="AP543" s="60"/>
      <c r="AQ543" s="15" t="s">
        <v>1489</v>
      </c>
      <c r="AR543" s="9">
        <v>3.4451882309400004</v>
      </c>
      <c r="AS543" s="15" t="s">
        <v>1489</v>
      </c>
      <c r="AT543" s="9">
        <v>3.4451882309400004</v>
      </c>
      <c r="AU543" s="288" t="s">
        <v>121</v>
      </c>
      <c r="AV543" s="9">
        <v>3</v>
      </c>
      <c r="AW543" s="73" t="s">
        <v>238</v>
      </c>
      <c r="AX543" s="9">
        <v>52.348952849740002</v>
      </c>
      <c r="AY543" s="288" t="s">
        <v>218</v>
      </c>
      <c r="AZ543" s="9">
        <v>1.2170292625832499</v>
      </c>
      <c r="BA543" s="288" t="s">
        <v>121</v>
      </c>
      <c r="BB543" s="288" t="s">
        <v>218</v>
      </c>
      <c r="BC543" s="9">
        <v>6.3737276238099998</v>
      </c>
      <c r="BD543" s="288" t="s">
        <v>121</v>
      </c>
      <c r="BE543" s="76" t="s">
        <v>91</v>
      </c>
      <c r="BF543" s="9">
        <v>5.7375521974462504</v>
      </c>
      <c r="BG543" s="64" t="s">
        <v>1489</v>
      </c>
      <c r="BH543" s="73" t="s">
        <v>218</v>
      </c>
      <c r="BI543" s="9">
        <v>5.5992826248633332</v>
      </c>
      <c r="BJ543" s="73" t="s">
        <v>121</v>
      </c>
      <c r="BK543" s="288" t="s">
        <v>238</v>
      </c>
      <c r="BL543" s="9">
        <v>5.5410638574600002</v>
      </c>
      <c r="BM543" s="15" t="s">
        <v>1489</v>
      </c>
      <c r="BN543" s="76" t="s">
        <v>91</v>
      </c>
      <c r="BO543" s="9">
        <v>5.1620225207489367</v>
      </c>
    </row>
    <row r="544" spans="1:67" x14ac:dyDescent="0.45">
      <c r="A544" s="10">
        <v>516</v>
      </c>
      <c r="B544" s="10" t="s">
        <v>410</v>
      </c>
      <c r="C544" s="288" t="s">
        <v>1993</v>
      </c>
      <c r="D544" s="65"/>
      <c r="E544" s="290" t="s">
        <v>2201</v>
      </c>
      <c r="F544" s="59" t="s">
        <v>2202</v>
      </c>
      <c r="G544" s="242"/>
      <c r="H544" s="10"/>
      <c r="I544" s="62">
        <v>174.65630221000001</v>
      </c>
      <c r="J544" s="62">
        <v>116.96440148000001</v>
      </c>
      <c r="K544" s="62">
        <v>154.89880196000001</v>
      </c>
      <c r="L544" s="49">
        <v>2350.9053371167479</v>
      </c>
      <c r="M544" s="49">
        <v>2155.3808262559478</v>
      </c>
      <c r="N544" s="49">
        <v>2010.7362786667272</v>
      </c>
      <c r="O544" s="61">
        <v>16.22043248398446</v>
      </c>
      <c r="P544" s="60"/>
      <c r="Q544" s="67" t="s">
        <v>2373</v>
      </c>
      <c r="R544" s="9">
        <v>6.2396890663000004</v>
      </c>
      <c r="S544" s="67" t="s">
        <v>2373</v>
      </c>
      <c r="T544" s="9">
        <v>12.479378132600001</v>
      </c>
      <c r="U544" s="73" t="s">
        <v>121</v>
      </c>
      <c r="V544" s="9">
        <v>10</v>
      </c>
      <c r="W544" s="288" t="s">
        <v>197</v>
      </c>
      <c r="X544" s="9">
        <v>137.2319157238</v>
      </c>
      <c r="Y544" s="288" t="s">
        <v>197</v>
      </c>
      <c r="Z544" s="9">
        <v>41.58542900721212</v>
      </c>
      <c r="AA544" s="73" t="s">
        <v>121</v>
      </c>
      <c r="AB544" s="73" t="s">
        <v>197</v>
      </c>
      <c r="AC544" s="9">
        <v>19.701180229308267</v>
      </c>
      <c r="AD544" s="288" t="s">
        <v>121</v>
      </c>
      <c r="AE544" s="288" t="s">
        <v>218</v>
      </c>
      <c r="AF544" s="9">
        <v>19.628783361925372</v>
      </c>
      <c r="AG544" s="67" t="s">
        <v>66</v>
      </c>
      <c r="AH544" s="73" t="s">
        <v>197</v>
      </c>
      <c r="AI544" s="9">
        <v>18.558490024132912</v>
      </c>
      <c r="AJ544" s="67" t="s">
        <v>66</v>
      </c>
      <c r="AK544" s="288" t="s">
        <v>218</v>
      </c>
      <c r="AL544" s="9">
        <v>18.504663042849057</v>
      </c>
      <c r="AM544" s="73" t="s">
        <v>121</v>
      </c>
      <c r="AN544" s="67" t="s">
        <v>91</v>
      </c>
      <c r="AO544" s="9">
        <v>15.876678502372449</v>
      </c>
      <c r="AP544" s="60"/>
      <c r="AQ544" s="67" t="s">
        <v>66</v>
      </c>
      <c r="AR544" s="9">
        <v>5.5410638574600002</v>
      </c>
      <c r="AS544" s="67" t="s">
        <v>66</v>
      </c>
      <c r="AT544" s="9">
        <v>5.5410638574600002</v>
      </c>
      <c r="AU544" s="288" t="s">
        <v>121</v>
      </c>
      <c r="AV544" s="9">
        <v>3</v>
      </c>
      <c r="AW544" s="73" t="s">
        <v>197</v>
      </c>
      <c r="AX544" s="9">
        <v>178.10149044094001</v>
      </c>
      <c r="AY544" s="288" t="s">
        <v>197</v>
      </c>
      <c r="AZ544" s="9">
        <v>2.3746865392125334</v>
      </c>
      <c r="BA544" s="288" t="s">
        <v>121</v>
      </c>
      <c r="BB544" s="288" t="s">
        <v>197</v>
      </c>
      <c r="BC544" s="9">
        <v>11.741362585915001</v>
      </c>
      <c r="BD544" s="288" t="s">
        <v>121</v>
      </c>
      <c r="BE544" s="288" t="s">
        <v>218</v>
      </c>
      <c r="BF544" s="9">
        <v>10.979779872790001</v>
      </c>
      <c r="BG544" s="76" t="s">
        <v>66</v>
      </c>
      <c r="BH544" s="73" t="s">
        <v>197</v>
      </c>
      <c r="BI544" s="9">
        <v>10.023152859628311</v>
      </c>
      <c r="BJ544" s="73" t="s">
        <v>121</v>
      </c>
      <c r="BK544" s="76" t="s">
        <v>91</v>
      </c>
      <c r="BL544" s="9">
        <v>9.7983112238287511</v>
      </c>
      <c r="BM544" s="67" t="s">
        <v>66</v>
      </c>
      <c r="BN544" s="288" t="s">
        <v>218</v>
      </c>
      <c r="BO544" s="9">
        <v>9.5415248747461909</v>
      </c>
    </row>
    <row r="545" spans="1:67" x14ac:dyDescent="0.45">
      <c r="A545" s="10">
        <v>519</v>
      </c>
      <c r="B545" s="10" t="s">
        <v>407</v>
      </c>
      <c r="C545" s="64" t="s">
        <v>2110</v>
      </c>
      <c r="D545" s="65"/>
      <c r="E545" s="56" t="s">
        <v>2208</v>
      </c>
      <c r="F545" s="289" t="s">
        <v>2118</v>
      </c>
      <c r="G545" s="80" t="s">
        <v>2191</v>
      </c>
      <c r="H545" s="10"/>
      <c r="I545" s="62">
        <v>89.30390113</v>
      </c>
      <c r="J545" s="62">
        <v>75.078500950000006</v>
      </c>
      <c r="K545" s="62">
        <v>120.12560152</v>
      </c>
      <c r="L545" s="49">
        <v>848.09795297613505</v>
      </c>
      <c r="M545" s="49">
        <v>865.66076216074782</v>
      </c>
      <c r="N545" s="49">
        <v>879.97251340093828</v>
      </c>
      <c r="O545" s="61">
        <v>8.3890153880568512</v>
      </c>
      <c r="P545" s="60"/>
      <c r="Q545" s="16" t="s">
        <v>158</v>
      </c>
      <c r="R545" s="9">
        <v>8.50152769492</v>
      </c>
      <c r="S545" s="16" t="s">
        <v>158</v>
      </c>
      <c r="T545" s="9">
        <v>7.0846064124333337</v>
      </c>
      <c r="U545" s="15" t="s">
        <v>291</v>
      </c>
      <c r="V545" s="9">
        <v>12.5</v>
      </c>
      <c r="W545" s="75" t="s">
        <v>270</v>
      </c>
      <c r="X545" s="9">
        <v>43.419353036750003</v>
      </c>
      <c r="Y545" s="75" t="s">
        <v>270</v>
      </c>
      <c r="Z545" s="9">
        <v>14.473117678916667</v>
      </c>
      <c r="AA545" s="15" t="s">
        <v>291</v>
      </c>
      <c r="AB545" s="16" t="s">
        <v>203</v>
      </c>
      <c r="AC545" s="9">
        <v>9.4918904382302625</v>
      </c>
      <c r="AD545" s="287" t="s">
        <v>158</v>
      </c>
      <c r="AE545" s="287" t="s">
        <v>203</v>
      </c>
      <c r="AF545" s="9">
        <v>9.1888614097864583</v>
      </c>
      <c r="AG545" s="15" t="s">
        <v>291</v>
      </c>
      <c r="AH545" s="16" t="s">
        <v>210</v>
      </c>
      <c r="AI545" s="9">
        <v>8.8928866683582086</v>
      </c>
      <c r="AJ545" s="15" t="s">
        <v>291</v>
      </c>
      <c r="AK545" s="75" t="s">
        <v>270</v>
      </c>
      <c r="AL545" s="9">
        <v>8.7532023253772717</v>
      </c>
      <c r="AM545" s="16" t="s">
        <v>158</v>
      </c>
      <c r="AN545" s="16" t="s">
        <v>210</v>
      </c>
      <c r="AO545" s="9">
        <v>8.6962118254482768</v>
      </c>
      <c r="AP545" s="60"/>
      <c r="AQ545" s="16" t="s">
        <v>158</v>
      </c>
      <c r="AR545" s="9">
        <v>7.2691338593260006</v>
      </c>
      <c r="AS545" s="16" t="s">
        <v>158</v>
      </c>
      <c r="AT545" s="9">
        <v>2.4230446197753337</v>
      </c>
      <c r="AU545" s="64" t="s">
        <v>291</v>
      </c>
      <c r="AV545" s="9">
        <v>3.5</v>
      </c>
      <c r="AW545" s="70" t="s">
        <v>270</v>
      </c>
      <c r="AX545" s="9">
        <v>56.145158947775002</v>
      </c>
      <c r="AY545" s="287" t="s">
        <v>203</v>
      </c>
      <c r="AZ545" s="9">
        <v>0.87358607966155566</v>
      </c>
      <c r="BA545" s="64" t="s">
        <v>291</v>
      </c>
      <c r="BB545" s="287" t="s">
        <v>203</v>
      </c>
      <c r="BC545" s="9">
        <v>4.9165769234694841</v>
      </c>
      <c r="BD545" s="287" t="s">
        <v>158</v>
      </c>
      <c r="BE545" s="287" t="s">
        <v>203</v>
      </c>
      <c r="BF545" s="9">
        <v>4.7285651800875002</v>
      </c>
      <c r="BG545" s="64" t="s">
        <v>291</v>
      </c>
      <c r="BH545" s="16" t="s">
        <v>210</v>
      </c>
      <c r="BI545" s="9">
        <v>4.6676619489378632</v>
      </c>
      <c r="BJ545" s="15" t="s">
        <v>291</v>
      </c>
      <c r="BK545" s="75" t="s">
        <v>270</v>
      </c>
      <c r="BL545" s="9">
        <v>4.6447772193609875</v>
      </c>
      <c r="BM545" s="16" t="s">
        <v>158</v>
      </c>
      <c r="BN545" s="287" t="s">
        <v>210</v>
      </c>
      <c r="BO545" s="9">
        <v>4.5112091598993684</v>
      </c>
    </row>
    <row r="546" spans="1:67" x14ac:dyDescent="0.45">
      <c r="A546" s="10">
        <v>520</v>
      </c>
      <c r="B546" s="10" t="s">
        <v>404</v>
      </c>
      <c r="C546" s="64" t="s">
        <v>2110</v>
      </c>
      <c r="D546" s="65"/>
      <c r="E546" s="56" t="s">
        <v>2208</v>
      </c>
      <c r="F546" s="289" t="s">
        <v>2118</v>
      </c>
      <c r="G546" s="80" t="s">
        <v>2191</v>
      </c>
      <c r="H546" s="10"/>
      <c r="I546" s="62">
        <v>125.65770159</v>
      </c>
      <c r="J546" s="62">
        <v>96.416601220000004</v>
      </c>
      <c r="K546" s="62">
        <v>136.72190173000001</v>
      </c>
      <c r="L546" s="49">
        <v>1442.7266896982881</v>
      </c>
      <c r="M546" s="49">
        <v>1399.9719911352117</v>
      </c>
      <c r="N546" s="49">
        <v>1366.6823055488012</v>
      </c>
      <c r="O546" s="61">
        <v>12.02304038672283</v>
      </c>
      <c r="P546" s="60"/>
      <c r="Q546" s="16" t="s">
        <v>158</v>
      </c>
      <c r="R546" s="9">
        <v>11.555246933559999</v>
      </c>
      <c r="S546" s="53" t="s">
        <v>185</v>
      </c>
      <c r="T546" s="9">
        <v>9.8889669843124999</v>
      </c>
      <c r="U546" s="16" t="s">
        <v>158</v>
      </c>
      <c r="V546" s="9">
        <v>8.33</v>
      </c>
      <c r="W546" s="287" t="s">
        <v>229</v>
      </c>
      <c r="X546" s="9">
        <v>61.315696763200002</v>
      </c>
      <c r="Y546" s="287" t="s">
        <v>229</v>
      </c>
      <c r="Z546" s="9">
        <v>30.657848381600001</v>
      </c>
      <c r="AA546" s="16" t="s">
        <v>158</v>
      </c>
      <c r="AB546" s="16" t="s">
        <v>229</v>
      </c>
      <c r="AC546" s="9">
        <v>14.886491428875001</v>
      </c>
      <c r="AD546" s="59" t="s">
        <v>185</v>
      </c>
      <c r="AE546" s="287" t="s">
        <v>229</v>
      </c>
      <c r="AF546" s="9">
        <v>14.681785768301921</v>
      </c>
      <c r="AG546" s="16" t="s">
        <v>158</v>
      </c>
      <c r="AH546" s="16" t="s">
        <v>203</v>
      </c>
      <c r="AI546" s="9">
        <v>12.653833016130209</v>
      </c>
      <c r="AJ546" s="53" t="s">
        <v>185</v>
      </c>
      <c r="AK546" s="287" t="s">
        <v>203</v>
      </c>
      <c r="AL546" s="9">
        <v>12.626007355435064</v>
      </c>
      <c r="AM546" s="53" t="s">
        <v>185</v>
      </c>
      <c r="AN546" s="70" t="s">
        <v>270</v>
      </c>
      <c r="AO546" s="9">
        <v>11.757672243487951</v>
      </c>
      <c r="AP546" s="60"/>
      <c r="AQ546" s="16" t="s">
        <v>158</v>
      </c>
      <c r="AR546" s="9">
        <v>9.8211706516180008</v>
      </c>
      <c r="AS546" s="53" t="s">
        <v>185</v>
      </c>
      <c r="AT546" s="9">
        <v>3.3587127111725001</v>
      </c>
      <c r="AU546" s="287" t="s">
        <v>158</v>
      </c>
      <c r="AV546" s="9">
        <v>3</v>
      </c>
      <c r="AW546" s="16" t="s">
        <v>229</v>
      </c>
      <c r="AX546" s="9">
        <v>79.410405792160006</v>
      </c>
      <c r="AY546" s="287" t="s">
        <v>229</v>
      </c>
      <c r="AZ546" s="9">
        <v>1.7646756842702223</v>
      </c>
      <c r="BA546" s="287" t="s">
        <v>158</v>
      </c>
      <c r="BB546" s="287" t="s">
        <v>229</v>
      </c>
      <c r="BC546" s="9">
        <v>8.032266190640625</v>
      </c>
      <c r="BD546" s="59" t="s">
        <v>185</v>
      </c>
      <c r="BE546" s="287" t="s">
        <v>229</v>
      </c>
      <c r="BF546" s="9">
        <v>7.3614333996455272</v>
      </c>
      <c r="BG546" s="287" t="s">
        <v>158</v>
      </c>
      <c r="BH546" s="16" t="s">
        <v>203</v>
      </c>
      <c r="BI546" s="9">
        <v>6.5008129525125007</v>
      </c>
      <c r="BJ546" s="16" t="s">
        <v>158</v>
      </c>
      <c r="BK546" s="75" t="s">
        <v>270</v>
      </c>
      <c r="BL546" s="9">
        <v>6.1706430575118594</v>
      </c>
      <c r="BM546" s="53" t="s">
        <v>185</v>
      </c>
      <c r="BN546" s="287" t="s">
        <v>203</v>
      </c>
      <c r="BO546" s="9">
        <v>6.0717885675376317</v>
      </c>
    </row>
    <row r="547" spans="1:67" x14ac:dyDescent="0.45">
      <c r="A547" s="10">
        <v>521</v>
      </c>
      <c r="B547" s="10" t="s">
        <v>279</v>
      </c>
      <c r="C547" s="64" t="s">
        <v>2110</v>
      </c>
      <c r="D547" s="65"/>
      <c r="E547" s="56" t="s">
        <v>2208</v>
      </c>
      <c r="F547" s="289" t="s">
        <v>2118</v>
      </c>
      <c r="G547" s="80" t="s">
        <v>2191</v>
      </c>
      <c r="H547" s="10"/>
      <c r="I547" s="62">
        <v>190.46230241000001</v>
      </c>
      <c r="J547" s="62">
        <v>127.23830161000001</v>
      </c>
      <c r="K547" s="62">
        <v>162.01150205000002</v>
      </c>
      <c r="L547" s="49">
        <v>2734.5815919584757</v>
      </c>
      <c r="M547" s="49">
        <v>2488.7531801292603</v>
      </c>
      <c r="N547" s="49">
        <v>2308.0997904689375</v>
      </c>
      <c r="O547" s="61">
        <v>18.287232018894848</v>
      </c>
      <c r="P547" s="60"/>
      <c r="Q547" s="16" t="s">
        <v>158</v>
      </c>
      <c r="R547" s="9">
        <v>16.998833402439999</v>
      </c>
      <c r="S547" s="53" t="s">
        <v>185</v>
      </c>
      <c r="T547" s="9">
        <v>14.3442832906875</v>
      </c>
      <c r="U547" s="16" t="s">
        <v>158</v>
      </c>
      <c r="V547" s="9">
        <v>8.33</v>
      </c>
      <c r="W547" s="64" t="s">
        <v>112</v>
      </c>
      <c r="X547" s="9">
        <v>172.41607216899999</v>
      </c>
      <c r="Y547" s="287" t="s">
        <v>229</v>
      </c>
      <c r="Z547" s="9">
        <v>46.210952578399997</v>
      </c>
      <c r="AA547" s="16" t="s">
        <v>158</v>
      </c>
      <c r="AB547" s="16" t="s">
        <v>229</v>
      </c>
      <c r="AC547" s="9">
        <v>22.177009021124999</v>
      </c>
      <c r="AD547" s="59" t="s">
        <v>185</v>
      </c>
      <c r="AE547" s="287" t="s">
        <v>229</v>
      </c>
      <c r="AF547" s="9">
        <v>21.698130049390382</v>
      </c>
      <c r="AG547" s="16" t="s">
        <v>158</v>
      </c>
      <c r="AH547" s="15" t="s">
        <v>112</v>
      </c>
      <c r="AI547" s="9">
        <v>21.671164948949365</v>
      </c>
      <c r="AJ547" s="53" t="s">
        <v>185</v>
      </c>
      <c r="AK547" s="64" t="s">
        <v>112</v>
      </c>
      <c r="AL547" s="9">
        <v>21.120593386341952</v>
      </c>
      <c r="AM547" s="16" t="s">
        <v>158</v>
      </c>
      <c r="AN547" s="70" t="s">
        <v>270</v>
      </c>
      <c r="AO547" s="9">
        <v>17.430528511276666</v>
      </c>
      <c r="AP547" s="60"/>
      <c r="AQ547" s="16" t="s">
        <v>158</v>
      </c>
      <c r="AR547" s="9">
        <v>14.370453629182</v>
      </c>
      <c r="AS547" s="53" t="s">
        <v>185</v>
      </c>
      <c r="AT547" s="9">
        <v>4.8330173798275</v>
      </c>
      <c r="AU547" s="287" t="s">
        <v>158</v>
      </c>
      <c r="AV547" s="9">
        <v>3</v>
      </c>
      <c r="AW547" s="15" t="s">
        <v>112</v>
      </c>
      <c r="AX547" s="9">
        <v>223.84089381970003</v>
      </c>
      <c r="AY547" s="64" t="s">
        <v>112</v>
      </c>
      <c r="AZ547" s="9">
        <v>2.7980111727462504</v>
      </c>
      <c r="BA547" s="287" t="s">
        <v>158</v>
      </c>
      <c r="BB547" s="64" t="s">
        <v>112</v>
      </c>
      <c r="BC547" s="9">
        <v>12.707647930569719</v>
      </c>
      <c r="BD547" s="287" t="s">
        <v>158</v>
      </c>
      <c r="BE547" s="287" t="s">
        <v>229</v>
      </c>
      <c r="BF547" s="9">
        <v>11.981296553109376</v>
      </c>
      <c r="BG547" s="59" t="s">
        <v>185</v>
      </c>
      <c r="BH547" s="15" t="s">
        <v>112</v>
      </c>
      <c r="BI547" s="9">
        <v>11.469619696187273</v>
      </c>
      <c r="BJ547" s="53" t="s">
        <v>185</v>
      </c>
      <c r="BK547" s="287" t="s">
        <v>229</v>
      </c>
      <c r="BL547" s="9">
        <v>10.886462607407106</v>
      </c>
      <c r="BM547" s="16" t="s">
        <v>158</v>
      </c>
      <c r="BN547" s="75" t="s">
        <v>270</v>
      </c>
      <c r="BO547" s="9">
        <v>9.1678558454368595</v>
      </c>
    </row>
    <row r="548" spans="1:67" x14ac:dyDescent="0.45">
      <c r="A548" s="10">
        <v>522</v>
      </c>
      <c r="B548" s="10" t="s">
        <v>400</v>
      </c>
      <c r="C548" s="290" t="s">
        <v>1992</v>
      </c>
      <c r="D548" s="65"/>
      <c r="E548" s="80" t="s">
        <v>1892</v>
      </c>
      <c r="F548" s="287" t="s">
        <v>2211</v>
      </c>
      <c r="G548" s="242"/>
      <c r="H548" s="10"/>
      <c r="I548" s="62">
        <v>105.10990133000001</v>
      </c>
      <c r="J548" s="62">
        <v>62.433700790000003</v>
      </c>
      <c r="K548" s="62">
        <v>113.01290143000001</v>
      </c>
      <c r="L548" s="49">
        <v>882.91151348666813</v>
      </c>
      <c r="M548" s="49">
        <v>819.3330771100625</v>
      </c>
      <c r="N548" s="49">
        <v>771.78286865135465</v>
      </c>
      <c r="O548" s="61">
        <v>6.6411802148631498</v>
      </c>
      <c r="P548" s="60"/>
      <c r="Q548" s="15" t="s">
        <v>291</v>
      </c>
      <c r="R548" s="9">
        <v>5.2043960532000009</v>
      </c>
      <c r="S548" s="51" t="s">
        <v>6</v>
      </c>
      <c r="T548" s="9">
        <v>6.8342234969714299</v>
      </c>
      <c r="U548" s="51" t="s">
        <v>6</v>
      </c>
      <c r="V548" s="9">
        <v>12.856999999999999</v>
      </c>
      <c r="W548" s="290" t="s">
        <v>182</v>
      </c>
      <c r="X548" s="9">
        <v>51.452752638400007</v>
      </c>
      <c r="Y548" s="290" t="s">
        <v>182</v>
      </c>
      <c r="Z548" s="9">
        <v>20.581101055360001</v>
      </c>
      <c r="AA548" s="51" t="s">
        <v>6</v>
      </c>
      <c r="AB548" s="51" t="s">
        <v>182</v>
      </c>
      <c r="AC548" s="9">
        <v>12.213436454601743</v>
      </c>
      <c r="AD548" s="64" t="s">
        <v>291</v>
      </c>
      <c r="AE548" s="290" t="s">
        <v>182</v>
      </c>
      <c r="AF548" s="9">
        <v>11.919189677600002</v>
      </c>
      <c r="AG548" s="51" t="s">
        <v>6</v>
      </c>
      <c r="AH548" s="51" t="s">
        <v>302</v>
      </c>
      <c r="AI548" s="9">
        <v>11.725112042130183</v>
      </c>
      <c r="AJ548" s="15" t="s">
        <v>291</v>
      </c>
      <c r="AK548" s="290" t="s">
        <v>302</v>
      </c>
      <c r="AL548" s="9">
        <v>11.485325489554839</v>
      </c>
      <c r="AM548" s="51" t="s">
        <v>6</v>
      </c>
      <c r="AN548" s="70" t="s">
        <v>1482</v>
      </c>
      <c r="AO548" s="9">
        <v>8.6829908016019708</v>
      </c>
      <c r="AP548" s="60"/>
      <c r="AQ548" s="15" t="s">
        <v>291</v>
      </c>
      <c r="AR548" s="9">
        <v>4.4160717932250009</v>
      </c>
      <c r="AS548" s="15" t="s">
        <v>291</v>
      </c>
      <c r="AT548" s="9">
        <v>2.2080358966125004</v>
      </c>
      <c r="AU548" s="290" t="s">
        <v>6</v>
      </c>
      <c r="AV548" s="9">
        <v>4</v>
      </c>
      <c r="AW548" s="51" t="s">
        <v>182</v>
      </c>
      <c r="AX548" s="9">
        <v>74.787150733660013</v>
      </c>
      <c r="AY548" s="290" t="s">
        <v>182</v>
      </c>
      <c r="AZ548" s="9">
        <v>1.3597663769756365</v>
      </c>
      <c r="BA548" s="290" t="s">
        <v>6</v>
      </c>
      <c r="BB548" s="290" t="s">
        <v>182</v>
      </c>
      <c r="BC548" s="9">
        <v>7.0649643775555937</v>
      </c>
      <c r="BD548" s="64" t="s">
        <v>291</v>
      </c>
      <c r="BE548" s="290" t="s">
        <v>182</v>
      </c>
      <c r="BF548" s="9">
        <v>6.5503761005384193</v>
      </c>
      <c r="BG548" s="290" t="s">
        <v>6</v>
      </c>
      <c r="BH548" s="51" t="s">
        <v>302</v>
      </c>
      <c r="BI548" s="9">
        <v>6.3969394006306137</v>
      </c>
      <c r="BJ548" s="15" t="s">
        <v>291</v>
      </c>
      <c r="BK548" s="290" t="s">
        <v>302</v>
      </c>
      <c r="BL548" s="9">
        <v>5.966580108405104</v>
      </c>
      <c r="BM548" s="51" t="s">
        <v>6</v>
      </c>
      <c r="BN548" s="75" t="s">
        <v>1482</v>
      </c>
      <c r="BO548" s="9">
        <v>5.5978841381111115</v>
      </c>
    </row>
    <row r="549" spans="1:67" x14ac:dyDescent="0.45">
      <c r="A549" s="10">
        <v>523</v>
      </c>
      <c r="B549" s="10" t="s">
        <v>398</v>
      </c>
      <c r="C549" s="290" t="s">
        <v>1992</v>
      </c>
      <c r="D549" s="65"/>
      <c r="E549" s="80" t="s">
        <v>1892</v>
      </c>
      <c r="F549" s="287" t="s">
        <v>2211</v>
      </c>
      <c r="G549" s="242"/>
      <c r="H549" s="10"/>
      <c r="I549" s="62">
        <v>178.60780226</v>
      </c>
      <c r="J549" s="62">
        <v>119.33530151000001</v>
      </c>
      <c r="K549" s="62">
        <v>154.89880196000001</v>
      </c>
      <c r="L549" s="49">
        <v>2428.3368109621797</v>
      </c>
      <c r="M549" s="49">
        <v>2217.2344276996114</v>
      </c>
      <c r="N549" s="49">
        <v>2061.6444320356068</v>
      </c>
      <c r="O549" s="61">
        <v>16.514171589601418</v>
      </c>
      <c r="P549" s="60"/>
      <c r="Q549" s="51" t="s">
        <v>6</v>
      </c>
      <c r="R549" s="9">
        <v>7.4298808813599999</v>
      </c>
      <c r="S549" s="51" t="s">
        <v>6</v>
      </c>
      <c r="T549" s="9">
        <v>10.614115544800001</v>
      </c>
      <c r="U549" s="51" t="s">
        <v>6</v>
      </c>
      <c r="V549" s="9">
        <v>12.856999999999999</v>
      </c>
      <c r="W549" s="290" t="s">
        <v>182</v>
      </c>
      <c r="X549" s="9">
        <v>86.731745084799996</v>
      </c>
      <c r="Y549" s="290" t="s">
        <v>182</v>
      </c>
      <c r="Z549" s="9">
        <v>34.692698033919996</v>
      </c>
      <c r="AA549" s="51" t="s">
        <v>6</v>
      </c>
      <c r="AB549" s="51" t="s">
        <v>182</v>
      </c>
      <c r="AC549" s="9">
        <v>20.036169562281739</v>
      </c>
      <c r="AD549" s="290" t="s">
        <v>6</v>
      </c>
      <c r="AE549" s="290" t="s">
        <v>302</v>
      </c>
      <c r="AF549" s="9">
        <v>19.278023606791276</v>
      </c>
      <c r="AG549" s="55" t="s">
        <v>140</v>
      </c>
      <c r="AH549" s="51" t="s">
        <v>182</v>
      </c>
      <c r="AI549" s="9">
        <v>18.62893719775111</v>
      </c>
      <c r="AJ549" s="55" t="s">
        <v>140</v>
      </c>
      <c r="AK549" s="290" t="s">
        <v>302</v>
      </c>
      <c r="AL549" s="9">
        <v>18.168096939478094</v>
      </c>
      <c r="AM549" s="51" t="s">
        <v>6</v>
      </c>
      <c r="AN549" s="70" t="s">
        <v>1482</v>
      </c>
      <c r="AO549" s="9">
        <v>14.240045304130939</v>
      </c>
      <c r="AP549" s="60"/>
      <c r="AQ549" s="51" t="s">
        <v>6</v>
      </c>
      <c r="AR549" s="9">
        <v>6.572563430512</v>
      </c>
      <c r="AS549" s="51" t="s">
        <v>6</v>
      </c>
      <c r="AT549" s="9">
        <v>3.286281715256</v>
      </c>
      <c r="AU549" s="290" t="s">
        <v>6</v>
      </c>
      <c r="AV549" s="9">
        <v>4</v>
      </c>
      <c r="AW549" s="51" t="s">
        <v>182</v>
      </c>
      <c r="AX549" s="9">
        <v>126.38267718652</v>
      </c>
      <c r="AY549" s="290" t="s">
        <v>182</v>
      </c>
      <c r="AZ549" s="9">
        <v>2.2978668579367274</v>
      </c>
      <c r="BA549" s="290" t="s">
        <v>6</v>
      </c>
      <c r="BB549" s="290" t="s">
        <v>182</v>
      </c>
      <c r="BC549" s="9">
        <v>11.631800052290847</v>
      </c>
      <c r="BD549" s="290" t="s">
        <v>6</v>
      </c>
      <c r="BE549" s="290" t="s">
        <v>302</v>
      </c>
      <c r="BF549" s="9">
        <v>10.491822452444898</v>
      </c>
      <c r="BG549" s="290" t="s">
        <v>6</v>
      </c>
      <c r="BH549" s="70" t="s">
        <v>1482</v>
      </c>
      <c r="BI549" s="9">
        <v>9.1366719606666678</v>
      </c>
      <c r="BJ549" s="55" t="s">
        <v>140</v>
      </c>
      <c r="BK549" s="290" t="s">
        <v>182</v>
      </c>
      <c r="BL549" s="9">
        <v>8.1941090709947826</v>
      </c>
      <c r="BM549" s="55" t="s">
        <v>140</v>
      </c>
      <c r="BN549" s="290" t="s">
        <v>302</v>
      </c>
      <c r="BO549" s="9">
        <v>7.4920200776136836</v>
      </c>
    </row>
    <row r="550" spans="1:67" x14ac:dyDescent="0.45">
      <c r="A550" s="10">
        <v>524</v>
      </c>
      <c r="B550" s="10" t="s">
        <v>3146</v>
      </c>
      <c r="C550" s="56" t="s">
        <v>2025</v>
      </c>
      <c r="D550" s="65"/>
      <c r="E550" s="58" t="s">
        <v>2289</v>
      </c>
      <c r="F550" s="64" t="s">
        <v>2290</v>
      </c>
      <c r="G550" s="242"/>
      <c r="H550" s="10"/>
      <c r="I550" s="62">
        <v>107.48080136</v>
      </c>
      <c r="J550" s="62">
        <v>98.787501250000005</v>
      </c>
      <c r="K550" s="62">
        <v>127.23830161000001</v>
      </c>
      <c r="L550" s="49">
        <v>1205.0104904443651</v>
      </c>
      <c r="M550" s="49">
        <v>1222.0824475212689</v>
      </c>
      <c r="N550" s="49">
        <v>1235.9139933079687</v>
      </c>
      <c r="O550" s="61">
        <v>11.439476573082974</v>
      </c>
      <c r="P550" s="60"/>
      <c r="Q550" s="52" t="s">
        <v>249</v>
      </c>
      <c r="R550" s="9">
        <v>11.318156930559999</v>
      </c>
      <c r="S550" s="52" t="s">
        <v>249</v>
      </c>
      <c r="T550" s="9">
        <v>9.4317974421333322</v>
      </c>
      <c r="U550" s="15" t="s">
        <v>127</v>
      </c>
      <c r="V550" s="9">
        <v>10</v>
      </c>
      <c r="W550" s="56" t="s">
        <v>87</v>
      </c>
      <c r="X550" s="9">
        <v>65.488480815999992</v>
      </c>
      <c r="Y550" s="56" t="s">
        <v>87</v>
      </c>
      <c r="Z550" s="9">
        <v>28.473252528695649</v>
      </c>
      <c r="AA550" s="52" t="s">
        <v>249</v>
      </c>
      <c r="AB550" s="52" t="s">
        <v>87</v>
      </c>
      <c r="AC550" s="9">
        <v>11.878464855490503</v>
      </c>
      <c r="AD550" s="56" t="s">
        <v>249</v>
      </c>
      <c r="AE550" s="56" t="s">
        <v>286</v>
      </c>
      <c r="AF550" s="9">
        <v>11.324398256150234</v>
      </c>
      <c r="AG550" s="15" t="s">
        <v>127</v>
      </c>
      <c r="AH550" s="52" t="s">
        <v>87</v>
      </c>
      <c r="AI550" s="9">
        <v>11.319421259837396</v>
      </c>
      <c r="AJ550" s="15" t="s">
        <v>127</v>
      </c>
      <c r="AK550" s="56" t="s">
        <v>286</v>
      </c>
      <c r="AL550" s="9">
        <v>10.642522816196317</v>
      </c>
      <c r="AM550" s="52" t="s">
        <v>249</v>
      </c>
      <c r="AN550" s="71" t="s">
        <v>1504</v>
      </c>
      <c r="AO550" s="9">
        <v>10.430072850909092</v>
      </c>
      <c r="AP550" s="60"/>
      <c r="AQ550" s="52" t="s">
        <v>249</v>
      </c>
      <c r="AR550" s="9">
        <v>11.060203007296</v>
      </c>
      <c r="AS550" s="52" t="s">
        <v>249</v>
      </c>
      <c r="AT550" s="9">
        <v>3.6867343357653333</v>
      </c>
      <c r="AU550" s="56" t="s">
        <v>249</v>
      </c>
      <c r="AV550" s="9">
        <v>2.6666666666666998</v>
      </c>
      <c r="AW550" s="52" t="s">
        <v>87</v>
      </c>
      <c r="AX550" s="9">
        <v>84.835025060800007</v>
      </c>
      <c r="AY550" s="56" t="s">
        <v>87</v>
      </c>
      <c r="AZ550" s="9">
        <v>1.5424550011054547</v>
      </c>
      <c r="BA550" s="56" t="s">
        <v>249</v>
      </c>
      <c r="BB550" s="56" t="s">
        <v>87</v>
      </c>
      <c r="BC550" s="9">
        <v>7.4392564502178038</v>
      </c>
      <c r="BD550" s="56" t="s">
        <v>249</v>
      </c>
      <c r="BE550" s="56" t="s">
        <v>286</v>
      </c>
      <c r="BF550" s="9">
        <v>6.1386579729299999</v>
      </c>
      <c r="BG550" s="64" t="s">
        <v>127</v>
      </c>
      <c r="BH550" s="52" t="s">
        <v>87</v>
      </c>
      <c r="BI550" s="9">
        <v>5.9639159575473686</v>
      </c>
      <c r="BJ550" s="52" t="s">
        <v>249</v>
      </c>
      <c r="BK550" s="80" t="s">
        <v>1504</v>
      </c>
      <c r="BL550" s="9">
        <v>5.9507037983795739</v>
      </c>
      <c r="BM550" s="15" t="s">
        <v>127</v>
      </c>
      <c r="BN550" s="56" t="s">
        <v>286</v>
      </c>
      <c r="BO550" s="9">
        <v>4.9921440505142858</v>
      </c>
    </row>
    <row r="551" spans="1:67" x14ac:dyDescent="0.45">
      <c r="A551" s="10">
        <v>525</v>
      </c>
      <c r="B551" s="10" t="s">
        <v>3147</v>
      </c>
      <c r="C551" s="56" t="s">
        <v>2025</v>
      </c>
      <c r="D551" s="65"/>
      <c r="E551" s="58" t="s">
        <v>2289</v>
      </c>
      <c r="F551" s="64" t="s">
        <v>2290</v>
      </c>
      <c r="G551" s="242"/>
      <c r="H551" s="10"/>
      <c r="I551" s="62">
        <v>149.36670189</v>
      </c>
      <c r="J551" s="62">
        <v>124.86740158000001</v>
      </c>
      <c r="K551" s="62">
        <v>147.78610187000001</v>
      </c>
      <c r="L551" s="49">
        <v>2029.0611041434527</v>
      </c>
      <c r="M551" s="49">
        <v>1965.8828771202109</v>
      </c>
      <c r="N551" s="49">
        <v>1916.7596187749125</v>
      </c>
      <c r="O551" s="61">
        <v>16.405192740249984</v>
      </c>
      <c r="P551" s="60"/>
      <c r="Q551" s="52" t="s">
        <v>249</v>
      </c>
      <c r="R551" s="9">
        <v>15.339203381439999</v>
      </c>
      <c r="S551" s="52" t="s">
        <v>249</v>
      </c>
      <c r="T551" s="9">
        <v>12.782669484533333</v>
      </c>
      <c r="U551" s="71" t="s">
        <v>80</v>
      </c>
      <c r="V551" s="9">
        <v>8.5709999999999997</v>
      </c>
      <c r="W551" s="56" t="s">
        <v>87</v>
      </c>
      <c r="X551" s="9">
        <v>90.620021133999998</v>
      </c>
      <c r="Y551" s="56" t="s">
        <v>87</v>
      </c>
      <c r="Z551" s="9">
        <v>39.400009188695655</v>
      </c>
      <c r="AA551" s="52" t="s">
        <v>249</v>
      </c>
      <c r="AB551" s="52" t="s">
        <v>40</v>
      </c>
      <c r="AC551" s="9">
        <v>16.526082160901961</v>
      </c>
      <c r="AD551" s="56" t="s">
        <v>249</v>
      </c>
      <c r="AE551" s="56" t="s">
        <v>87</v>
      </c>
      <c r="AF551" s="9">
        <v>16.202774586185477</v>
      </c>
      <c r="AG551" s="71" t="s">
        <v>80</v>
      </c>
      <c r="AH551" s="52" t="s">
        <v>40</v>
      </c>
      <c r="AI551" s="9">
        <v>15.571312122962892</v>
      </c>
      <c r="AJ551" s="71" t="s">
        <v>80</v>
      </c>
      <c r="AK551" s="56" t="s">
        <v>87</v>
      </c>
      <c r="AL551" s="9">
        <v>14.805842259389264</v>
      </c>
      <c r="AM551" s="52" t="s">
        <v>249</v>
      </c>
      <c r="AN551" s="71" t="s">
        <v>1504</v>
      </c>
      <c r="AO551" s="9">
        <v>14.23788199</v>
      </c>
      <c r="AP551" s="60"/>
      <c r="AQ551" s="52" t="s">
        <v>249</v>
      </c>
      <c r="AR551" s="9">
        <v>14.980723296904001</v>
      </c>
      <c r="AS551" s="52" t="s">
        <v>249</v>
      </c>
      <c r="AT551" s="9">
        <v>4.993574432301334</v>
      </c>
      <c r="AU551" s="56" t="s">
        <v>2521</v>
      </c>
      <c r="AV551" s="9">
        <v>2.6666666666666998</v>
      </c>
      <c r="AW551" s="52" t="s">
        <v>87</v>
      </c>
      <c r="AX551" s="9">
        <v>117.50602747420001</v>
      </c>
      <c r="AY551" s="56" t="s">
        <v>87</v>
      </c>
      <c r="AZ551" s="9">
        <v>2.1364732268036364</v>
      </c>
      <c r="BA551" s="56" t="s">
        <v>249</v>
      </c>
      <c r="BB551" s="56" t="s">
        <v>87</v>
      </c>
      <c r="BC551" s="9">
        <v>10.196462434238844</v>
      </c>
      <c r="BD551" s="56" t="s">
        <v>249</v>
      </c>
      <c r="BE551" s="56" t="s">
        <v>40</v>
      </c>
      <c r="BF551" s="9">
        <v>9.9844134559130069</v>
      </c>
      <c r="BG551" s="80" t="s">
        <v>80</v>
      </c>
      <c r="BH551" s="52" t="s">
        <v>87</v>
      </c>
      <c r="BI551" s="9">
        <v>9.1470102599770229</v>
      </c>
      <c r="BJ551" s="71" t="s">
        <v>80</v>
      </c>
      <c r="BK551" s="56" t="s">
        <v>40</v>
      </c>
      <c r="BL551" s="9">
        <v>8.9456359382234627</v>
      </c>
      <c r="BM551" s="52" t="s">
        <v>249</v>
      </c>
      <c r="BN551" s="80" t="s">
        <v>1504</v>
      </c>
      <c r="BO551" s="9">
        <v>8.1287706259395751</v>
      </c>
    </row>
    <row r="552" spans="1:67" x14ac:dyDescent="0.45">
      <c r="A552" s="10">
        <v>526</v>
      </c>
      <c r="B552" s="10" t="s">
        <v>3148</v>
      </c>
      <c r="C552" s="56" t="s">
        <v>2025</v>
      </c>
      <c r="D552" s="65"/>
      <c r="E552" s="58" t="s">
        <v>2289</v>
      </c>
      <c r="F552" s="64" t="s">
        <v>2290</v>
      </c>
      <c r="G552" s="242"/>
      <c r="H552" s="10"/>
      <c r="I552" s="62">
        <v>190.46230241000001</v>
      </c>
      <c r="J552" s="62">
        <v>170.70480216000001</v>
      </c>
      <c r="K552" s="62">
        <v>168.33390213000001</v>
      </c>
      <c r="L552" s="49">
        <v>3228.6256650002115</v>
      </c>
      <c r="M552" s="49">
        <v>3105.6385312478392</v>
      </c>
      <c r="N552" s="49">
        <v>3010.6306283597705</v>
      </c>
      <c r="O552" s="61">
        <v>24.545389586601519</v>
      </c>
      <c r="P552" s="60"/>
      <c r="Q552" s="52" t="s">
        <v>249</v>
      </c>
      <c r="R552" s="9">
        <v>19.284381031359999</v>
      </c>
      <c r="S552" s="52" t="s">
        <v>249</v>
      </c>
      <c r="T552" s="9">
        <v>16.070317526133334</v>
      </c>
      <c r="U552" s="71" t="s">
        <v>80</v>
      </c>
      <c r="V552" s="9">
        <v>8.5709999999999997</v>
      </c>
      <c r="W552" s="79" t="s">
        <v>9</v>
      </c>
      <c r="X552" s="9">
        <v>172.41607216900002</v>
      </c>
      <c r="Y552" s="79" t="s">
        <v>9</v>
      </c>
      <c r="Z552" s="9">
        <v>35.186953503877554</v>
      </c>
      <c r="AA552" s="52" t="s">
        <v>249</v>
      </c>
      <c r="AB552" s="52" t="s">
        <v>40</v>
      </c>
      <c r="AC552" s="9">
        <v>20.877381039490196</v>
      </c>
      <c r="AD552" s="56" t="s">
        <v>249</v>
      </c>
      <c r="AE552" s="79" t="s">
        <v>9</v>
      </c>
      <c r="AF552" s="9">
        <v>20.639659784228293</v>
      </c>
      <c r="AG552" s="71" t="s">
        <v>80</v>
      </c>
      <c r="AH552" s="52" t="s">
        <v>40</v>
      </c>
      <c r="AI552" s="9">
        <v>19.688898659439452</v>
      </c>
      <c r="AJ552" s="52" t="s">
        <v>249</v>
      </c>
      <c r="AK552" s="59" t="s">
        <v>0</v>
      </c>
      <c r="AL552" s="9">
        <v>19.603040342656254</v>
      </c>
      <c r="AM552" s="52" t="s">
        <v>249</v>
      </c>
      <c r="AN552" s="55" t="s">
        <v>1774</v>
      </c>
      <c r="AO552" s="9">
        <v>19.283224759071427</v>
      </c>
      <c r="AP552" s="60"/>
      <c r="AQ552" s="52" t="s">
        <v>249</v>
      </c>
      <c r="AR552" s="9">
        <v>18.827271505576</v>
      </c>
      <c r="AS552" s="52" t="s">
        <v>249</v>
      </c>
      <c r="AT552" s="9">
        <v>6.2757571685253337</v>
      </c>
      <c r="AU552" s="56" t="s">
        <v>2521</v>
      </c>
      <c r="AV552" s="9">
        <v>2.6666666666666998</v>
      </c>
      <c r="AW552" s="72" t="s">
        <v>9</v>
      </c>
      <c r="AX552" s="9">
        <v>186.70074484975001</v>
      </c>
      <c r="AY552" s="56" t="s">
        <v>40</v>
      </c>
      <c r="AZ552" s="9">
        <v>2.6632994823075555</v>
      </c>
      <c r="BA552" s="56" t="s">
        <v>249</v>
      </c>
      <c r="BB552" s="56" t="s">
        <v>40</v>
      </c>
      <c r="BC552" s="9">
        <v>12.629475743927552</v>
      </c>
      <c r="BD552" s="56" t="s">
        <v>249</v>
      </c>
      <c r="BE552" s="58" t="s">
        <v>1774</v>
      </c>
      <c r="BF552" s="9">
        <v>12.522923725587813</v>
      </c>
      <c r="BG552" s="56" t="s">
        <v>249</v>
      </c>
      <c r="BH552" s="72" t="s">
        <v>9</v>
      </c>
      <c r="BI552" s="9">
        <v>12.095918061468065</v>
      </c>
      <c r="BJ552" s="71" t="s">
        <v>80</v>
      </c>
      <c r="BK552" s="56" t="s">
        <v>40</v>
      </c>
      <c r="BL552" s="9">
        <v>11.304897004439825</v>
      </c>
      <c r="BM552" s="71" t="s">
        <v>80</v>
      </c>
      <c r="BN552" s="58" t="s">
        <v>1774</v>
      </c>
      <c r="BO552" s="9">
        <v>11.20754344956875</v>
      </c>
    </row>
    <row r="553" spans="1:67" x14ac:dyDescent="0.45">
      <c r="A553" s="10">
        <v>529</v>
      </c>
      <c r="B553" s="10" t="s">
        <v>395</v>
      </c>
      <c r="C553" s="80" t="s">
        <v>1892</v>
      </c>
      <c r="D553" s="65"/>
      <c r="E553" s="288" t="s">
        <v>2214</v>
      </c>
      <c r="F553" s="63" t="s">
        <v>2215</v>
      </c>
      <c r="G553" s="290" t="s">
        <v>1992</v>
      </c>
      <c r="H553" s="10"/>
      <c r="I553" s="62">
        <v>133.56070169</v>
      </c>
      <c r="J553" s="62">
        <v>79.030000999999999</v>
      </c>
      <c r="K553" s="62">
        <v>134.35100170000001</v>
      </c>
      <c r="L553" s="49">
        <v>1376.243054325646</v>
      </c>
      <c r="M553" s="49">
        <v>1262.2374427858354</v>
      </c>
      <c r="N553" s="49">
        <v>1177.8711750260281</v>
      </c>
      <c r="O553" s="61">
        <v>9.8400969285950399</v>
      </c>
      <c r="P553" s="60"/>
      <c r="Q553" s="71" t="s">
        <v>80</v>
      </c>
      <c r="R553" s="9">
        <v>15.424555782519999</v>
      </c>
      <c r="S553" s="71" t="s">
        <v>80</v>
      </c>
      <c r="T553" s="9">
        <v>11.017539844657144</v>
      </c>
      <c r="U553" s="71" t="s">
        <v>80</v>
      </c>
      <c r="V553" s="9">
        <v>8.5709999999999997</v>
      </c>
      <c r="W553" s="80" t="s">
        <v>1490</v>
      </c>
      <c r="X553" s="9">
        <v>81.136421013999993</v>
      </c>
      <c r="Y553" s="80" t="s">
        <v>1487</v>
      </c>
      <c r="Z553" s="9">
        <v>23.253263146857144</v>
      </c>
      <c r="AA553" s="71" t="s">
        <v>80</v>
      </c>
      <c r="AB553" s="71" t="s">
        <v>1487</v>
      </c>
      <c r="AC553" s="9">
        <v>14.985882537262551</v>
      </c>
      <c r="AD553" s="64" t="s">
        <v>1489</v>
      </c>
      <c r="AE553" s="80" t="s">
        <v>1487</v>
      </c>
      <c r="AF553" s="9">
        <v>14.109878446955801</v>
      </c>
      <c r="AG553" s="71" t="s">
        <v>80</v>
      </c>
      <c r="AH553" s="71" t="s">
        <v>1490</v>
      </c>
      <c r="AI553" s="9">
        <v>13.804310453275317</v>
      </c>
      <c r="AJ553" s="15" t="s">
        <v>1489</v>
      </c>
      <c r="AK553" s="80" t="s">
        <v>1490</v>
      </c>
      <c r="AL553" s="9">
        <v>13.125267958698629</v>
      </c>
      <c r="AM553" s="71" t="s">
        <v>80</v>
      </c>
      <c r="AN553" s="52" t="s">
        <v>1488</v>
      </c>
      <c r="AO553" s="9">
        <v>12.400209743763837</v>
      </c>
      <c r="AP553" s="60"/>
      <c r="AQ553" s="71" t="s">
        <v>80</v>
      </c>
      <c r="AR553" s="9">
        <v>12.459508205002001</v>
      </c>
      <c r="AS553" s="15" t="s">
        <v>1489</v>
      </c>
      <c r="AT553" s="9">
        <v>4.4725782439400001</v>
      </c>
      <c r="AU553" s="80" t="s">
        <v>80</v>
      </c>
      <c r="AV553" s="9">
        <v>2.6666666666666998</v>
      </c>
      <c r="AW553" s="71" t="s">
        <v>1490</v>
      </c>
      <c r="AX553" s="9">
        <v>105.17734731820001</v>
      </c>
      <c r="AY553" s="80" t="s">
        <v>1487</v>
      </c>
      <c r="AZ553" s="9">
        <v>1.5334886882647274</v>
      </c>
      <c r="BA553" s="80" t="s">
        <v>80</v>
      </c>
      <c r="BB553" s="80" t="s">
        <v>1487</v>
      </c>
      <c r="BC553" s="9">
        <v>7.8613177694311567</v>
      </c>
      <c r="BD553" s="80" t="s">
        <v>80</v>
      </c>
      <c r="BE553" s="80" t="s">
        <v>1490</v>
      </c>
      <c r="BF553" s="9">
        <v>7.4120138505877424</v>
      </c>
      <c r="BG553" s="64" t="s">
        <v>1489</v>
      </c>
      <c r="BH553" s="71" t="s">
        <v>1487</v>
      </c>
      <c r="BI553" s="9">
        <v>7.2750098092249127</v>
      </c>
      <c r="BJ553" s="15" t="s">
        <v>1489</v>
      </c>
      <c r="BK553" s="80" t="s">
        <v>1490</v>
      </c>
      <c r="BL553" s="9">
        <v>6.9287921238000001</v>
      </c>
      <c r="BM553" s="71" t="s">
        <v>80</v>
      </c>
      <c r="BN553" s="56" t="s">
        <v>1488</v>
      </c>
      <c r="BO553" s="9">
        <v>6.6049545024027667</v>
      </c>
    </row>
    <row r="554" spans="1:67" x14ac:dyDescent="0.45">
      <c r="A554" s="10">
        <v>530</v>
      </c>
      <c r="B554" s="10" t="s">
        <v>392</v>
      </c>
      <c r="C554" s="80" t="s">
        <v>2119</v>
      </c>
      <c r="D554" s="65"/>
      <c r="E554" s="58" t="s">
        <v>2232</v>
      </c>
      <c r="F554" s="64" t="s">
        <v>2233</v>
      </c>
      <c r="G554" s="56" t="s">
        <v>2123</v>
      </c>
      <c r="H554" s="63" t="s">
        <v>1971</v>
      </c>
      <c r="I554" s="62">
        <v>213.38100270000001</v>
      </c>
      <c r="J554" s="62">
        <v>113.80320144000001</v>
      </c>
      <c r="K554" s="62">
        <v>203.10710257000002</v>
      </c>
      <c r="L554" s="49">
        <v>3244.1098137534809</v>
      </c>
      <c r="M554" s="49">
        <v>2897.5007780837668</v>
      </c>
      <c r="N554" s="49">
        <v>2647.0733327615994</v>
      </c>
      <c r="O554" s="61">
        <v>20.752533731079968</v>
      </c>
      <c r="P554" s="60"/>
      <c r="Q554" s="71" t="s">
        <v>80</v>
      </c>
      <c r="R554" s="9">
        <v>24.0451482916</v>
      </c>
      <c r="S554" s="71" t="s">
        <v>80</v>
      </c>
      <c r="T554" s="9">
        <v>17.175105922571429</v>
      </c>
      <c r="U554" s="53" t="s">
        <v>56</v>
      </c>
      <c r="V554" s="9">
        <v>10</v>
      </c>
      <c r="W554" s="80" t="s">
        <v>79</v>
      </c>
      <c r="X554" s="9">
        <v>180.240042268</v>
      </c>
      <c r="Y554" s="80" t="s">
        <v>79</v>
      </c>
      <c r="Z554" s="9">
        <v>50.066678407777772</v>
      </c>
      <c r="AA554" s="53" t="s">
        <v>56</v>
      </c>
      <c r="AB554" s="71" t="s">
        <v>79</v>
      </c>
      <c r="AC554" s="9">
        <v>24.742862710070924</v>
      </c>
      <c r="AD554" s="80" t="s">
        <v>80</v>
      </c>
      <c r="AE554" s="80" t="s">
        <v>79</v>
      </c>
      <c r="AF554" s="9">
        <v>24.484344252617284</v>
      </c>
      <c r="AG554" s="71" t="s">
        <v>80</v>
      </c>
      <c r="AH554" s="71" t="s">
        <v>1487</v>
      </c>
      <c r="AI554" s="9">
        <v>23.584285619034752</v>
      </c>
      <c r="AJ554" s="53" t="s">
        <v>56</v>
      </c>
      <c r="AK554" s="80" t="s">
        <v>1487</v>
      </c>
      <c r="AL554" s="9">
        <v>23.554479405714289</v>
      </c>
      <c r="AM554" s="71" t="s">
        <v>80</v>
      </c>
      <c r="AN554" s="53" t="s">
        <v>184</v>
      </c>
      <c r="AO554" s="9">
        <v>23.017923989698279</v>
      </c>
      <c r="AP554" s="60"/>
      <c r="AQ554" s="71" t="s">
        <v>80</v>
      </c>
      <c r="AR554" s="9">
        <v>19.308090031660001</v>
      </c>
      <c r="AS554" s="71" t="s">
        <v>80</v>
      </c>
      <c r="AT554" s="9">
        <v>6.4360300105533339</v>
      </c>
      <c r="AU554" s="59" t="s">
        <v>56</v>
      </c>
      <c r="AV554" s="9">
        <v>3</v>
      </c>
      <c r="AW554" s="71" t="s">
        <v>79</v>
      </c>
      <c r="AX554" s="9">
        <v>200.72461852720002</v>
      </c>
      <c r="AY554" s="80" t="s">
        <v>79</v>
      </c>
      <c r="AZ554" s="9">
        <v>3.0880710542646157</v>
      </c>
      <c r="BA554" s="80" t="s">
        <v>80</v>
      </c>
      <c r="BB554" s="80" t="s">
        <v>79</v>
      </c>
      <c r="BC554" s="9">
        <v>14.092723154066505</v>
      </c>
      <c r="BD554" s="59" t="s">
        <v>56</v>
      </c>
      <c r="BE554" s="80" t="s">
        <v>79</v>
      </c>
      <c r="BF554" s="9">
        <v>13.310798183880149</v>
      </c>
      <c r="BG554" s="80" t="s">
        <v>80</v>
      </c>
      <c r="BH554" s="71" t="s">
        <v>1487</v>
      </c>
      <c r="BI554" s="9">
        <v>12.34186657352428</v>
      </c>
      <c r="BJ554" s="71" t="s">
        <v>80</v>
      </c>
      <c r="BK554" s="56" t="s">
        <v>40</v>
      </c>
      <c r="BL554" s="9">
        <v>12.339363794802098</v>
      </c>
      <c r="BM554" s="71" t="s">
        <v>80</v>
      </c>
      <c r="BN554" s="59" t="s">
        <v>184</v>
      </c>
      <c r="BO554" s="9">
        <v>12.059827350484811</v>
      </c>
    </row>
    <row r="555" spans="1:67" x14ac:dyDescent="0.45">
      <c r="A555" s="10">
        <v>532</v>
      </c>
      <c r="B555" s="10" t="s">
        <v>3149</v>
      </c>
      <c r="C555" s="58" t="s">
        <v>1903</v>
      </c>
      <c r="D555" s="65"/>
      <c r="E555" s="287" t="s">
        <v>2235</v>
      </c>
      <c r="F555" s="289" t="s">
        <v>2236</v>
      </c>
      <c r="G555" s="242"/>
      <c r="H555" s="10"/>
      <c r="I555" s="62">
        <v>117.75470149</v>
      </c>
      <c r="J555" s="62">
        <v>80.610601020000004</v>
      </c>
      <c r="K555" s="62">
        <v>154.89880196000001</v>
      </c>
      <c r="L555" s="49">
        <v>1315.8257008794183</v>
      </c>
      <c r="M555" s="49">
        <v>1293.0410598307521</v>
      </c>
      <c r="N555" s="49">
        <v>1275.0977421453281</v>
      </c>
      <c r="O555" s="61">
        <v>11.555027788444262</v>
      </c>
      <c r="P555" s="60"/>
      <c r="Q555" s="55" t="s">
        <v>140</v>
      </c>
      <c r="R555" s="9">
        <v>5.2391692536400001</v>
      </c>
      <c r="S555" s="55" t="s">
        <v>140</v>
      </c>
      <c r="T555" s="9">
        <v>8.731948756066668</v>
      </c>
      <c r="U555" s="55" t="s">
        <v>2436</v>
      </c>
      <c r="V555" s="9">
        <v>10</v>
      </c>
      <c r="W555" s="56" t="s">
        <v>1488</v>
      </c>
      <c r="X555" s="9">
        <v>42.214145521500001</v>
      </c>
      <c r="Y555" s="58" t="s">
        <v>106</v>
      </c>
      <c r="Z555" s="9">
        <v>18.2882052235</v>
      </c>
      <c r="AA555" s="55" t="s">
        <v>140</v>
      </c>
      <c r="AB555" s="55" t="s">
        <v>106</v>
      </c>
      <c r="AC555" s="9">
        <v>11.831275177936936</v>
      </c>
      <c r="AD555" s="64" t="s">
        <v>288</v>
      </c>
      <c r="AE555" s="58" t="s">
        <v>106</v>
      </c>
      <c r="AF555" s="9">
        <v>11.698668532114866</v>
      </c>
      <c r="AG555" s="55" t="s">
        <v>140</v>
      </c>
      <c r="AH555" s="55" t="s">
        <v>201</v>
      </c>
      <c r="AI555" s="9">
        <v>11.153049212322719</v>
      </c>
      <c r="AJ555" s="15" t="s">
        <v>288</v>
      </c>
      <c r="AK555" s="58" t="s">
        <v>201</v>
      </c>
      <c r="AL555" s="9">
        <v>11.028044221356689</v>
      </c>
      <c r="AM555" s="55" t="s">
        <v>140</v>
      </c>
      <c r="AN555" s="52" t="s">
        <v>1488</v>
      </c>
      <c r="AO555" s="9">
        <v>10.47242552461382</v>
      </c>
      <c r="AP555" s="60"/>
      <c r="AQ555" s="15" t="s">
        <v>288</v>
      </c>
      <c r="AR555" s="9">
        <v>4.8270277984250001</v>
      </c>
      <c r="AS555" s="15" t="s">
        <v>288</v>
      </c>
      <c r="AT555" s="9">
        <v>2.4135138992125</v>
      </c>
      <c r="AU555" s="58" t="s">
        <v>140</v>
      </c>
      <c r="AV555" s="9">
        <v>2.5</v>
      </c>
      <c r="AW555" s="52" t="s">
        <v>1488</v>
      </c>
      <c r="AX555" s="9">
        <v>54.578389177950001</v>
      </c>
      <c r="AY555" s="58" t="s">
        <v>106</v>
      </c>
      <c r="AZ555" s="9">
        <v>1.0782704818537143</v>
      </c>
      <c r="BA555" s="58" t="s">
        <v>140</v>
      </c>
      <c r="BB555" s="58" t="s">
        <v>106</v>
      </c>
      <c r="BC555" s="9">
        <v>4.6971395780197334</v>
      </c>
      <c r="BD555" s="58" t="s">
        <v>140</v>
      </c>
      <c r="BE555" s="56" t="s">
        <v>1488</v>
      </c>
      <c r="BF555" s="9">
        <v>4.4266299766322401</v>
      </c>
      <c r="BG555" s="58" t="s">
        <v>140</v>
      </c>
      <c r="BH555" s="55" t="s">
        <v>201</v>
      </c>
      <c r="BI555" s="9">
        <v>4.4194729621637654</v>
      </c>
      <c r="BJ555" s="15" t="s">
        <v>288</v>
      </c>
      <c r="BK555" s="58" t="s">
        <v>106</v>
      </c>
      <c r="BL555" s="9">
        <v>4.3230248703296619</v>
      </c>
      <c r="BM555" s="15" t="s">
        <v>288</v>
      </c>
      <c r="BN555" s="56" t="s">
        <v>1488</v>
      </c>
      <c r="BO555" s="9">
        <v>4.0962518114298394</v>
      </c>
    </row>
    <row r="556" spans="1:67" x14ac:dyDescent="0.45">
      <c r="A556" s="10">
        <v>533</v>
      </c>
      <c r="B556" s="10" t="s">
        <v>3150</v>
      </c>
      <c r="C556" s="58" t="s">
        <v>1903</v>
      </c>
      <c r="D556" s="65"/>
      <c r="E556" s="287" t="s">
        <v>2235</v>
      </c>
      <c r="F556" s="289" t="s">
        <v>2236</v>
      </c>
      <c r="G556" s="242"/>
      <c r="H556" s="10"/>
      <c r="I556" s="62">
        <v>154.10850195</v>
      </c>
      <c r="J556" s="62">
        <v>117.75470149</v>
      </c>
      <c r="K556" s="62">
        <v>168.33390213000001</v>
      </c>
      <c r="L556" s="49">
        <v>2169.7091583929969</v>
      </c>
      <c r="M556" s="49">
        <v>2105.3176448872023</v>
      </c>
      <c r="N556" s="49">
        <v>2055.1830852066137</v>
      </c>
      <c r="O556" s="61">
        <v>17.733862688782764</v>
      </c>
      <c r="P556" s="60"/>
      <c r="Q556" s="54" t="s">
        <v>171</v>
      </c>
      <c r="R556" s="9">
        <v>8.7054250975000009</v>
      </c>
      <c r="S556" s="55" t="s">
        <v>140</v>
      </c>
      <c r="T556" s="9">
        <v>10.913176783666668</v>
      </c>
      <c r="U556" s="55" t="s">
        <v>140</v>
      </c>
      <c r="V556" s="9">
        <v>10</v>
      </c>
      <c r="W556" s="56" t="s">
        <v>87</v>
      </c>
      <c r="X556" s="9">
        <v>78.054250975000002</v>
      </c>
      <c r="Y556" s="56" t="s">
        <v>87</v>
      </c>
      <c r="Z556" s="9">
        <v>33.936630858695658</v>
      </c>
      <c r="AA556" s="55" t="s">
        <v>140</v>
      </c>
      <c r="AB556" s="52" t="s">
        <v>87</v>
      </c>
      <c r="AC556" s="9">
        <v>15.149492333471999</v>
      </c>
      <c r="AD556" s="58" t="s">
        <v>140</v>
      </c>
      <c r="AE556" s="58" t="s">
        <v>106</v>
      </c>
      <c r="AF556" s="9">
        <v>15.07364116490991</v>
      </c>
      <c r="AG556" s="54" t="s">
        <v>171</v>
      </c>
      <c r="AH556" s="55" t="s">
        <v>106</v>
      </c>
      <c r="AI556" s="9">
        <v>14.685293658257041</v>
      </c>
      <c r="AJ556" s="54" t="s">
        <v>171</v>
      </c>
      <c r="AK556" s="56" t="s">
        <v>87</v>
      </c>
      <c r="AL556" s="9">
        <v>14.589904016608392</v>
      </c>
      <c r="AM556" s="55" t="s">
        <v>140</v>
      </c>
      <c r="AN556" s="55" t="s">
        <v>201</v>
      </c>
      <c r="AO556" s="9">
        <v>14.209547085392781</v>
      </c>
      <c r="AP556" s="60"/>
      <c r="AQ556" s="54" t="s">
        <v>171</v>
      </c>
      <c r="AR556" s="9">
        <v>7.0102315760500007</v>
      </c>
      <c r="AS556" s="54" t="s">
        <v>171</v>
      </c>
      <c r="AT556" s="9">
        <v>3.5051157880250003</v>
      </c>
      <c r="AU556" s="63" t="s">
        <v>171</v>
      </c>
      <c r="AV556" s="9">
        <v>3.5</v>
      </c>
      <c r="AW556" s="52" t="s">
        <v>87</v>
      </c>
      <c r="AX556" s="9">
        <v>101.17052626750001</v>
      </c>
      <c r="AY556" s="56" t="s">
        <v>87</v>
      </c>
      <c r="AZ556" s="9">
        <v>1.8394641139545456</v>
      </c>
      <c r="BA556" s="63" t="s">
        <v>171</v>
      </c>
      <c r="BB556" s="56" t="s">
        <v>87</v>
      </c>
      <c r="BC556" s="9">
        <v>9.3483454748311967</v>
      </c>
      <c r="BD556" s="63" t="s">
        <v>171</v>
      </c>
      <c r="BE556" s="58" t="s">
        <v>106</v>
      </c>
      <c r="BF556" s="9">
        <v>7.6484554989681834</v>
      </c>
      <c r="BG556" s="58" t="s">
        <v>140</v>
      </c>
      <c r="BH556" s="52" t="s">
        <v>87</v>
      </c>
      <c r="BI556" s="9">
        <v>7.1765462668147828</v>
      </c>
      <c r="BJ556" s="54" t="s">
        <v>171</v>
      </c>
      <c r="BK556" s="58" t="s">
        <v>201</v>
      </c>
      <c r="BL556" s="9">
        <v>7.1722095551816096</v>
      </c>
      <c r="BM556" s="55" t="s">
        <v>140</v>
      </c>
      <c r="BN556" s="58" t="s">
        <v>106</v>
      </c>
      <c r="BO556" s="9">
        <v>5.9826099622853341</v>
      </c>
    </row>
    <row r="557" spans="1:67" x14ac:dyDescent="0.45">
      <c r="A557" s="10">
        <v>534</v>
      </c>
      <c r="B557" s="10" t="s">
        <v>3151</v>
      </c>
      <c r="C557" s="58" t="s">
        <v>1903</v>
      </c>
      <c r="D557" s="65"/>
      <c r="E557" s="287" t="s">
        <v>2235</v>
      </c>
      <c r="F557" s="289" t="s">
        <v>2236</v>
      </c>
      <c r="G557" s="242"/>
      <c r="H557" s="10"/>
      <c r="I557" s="62">
        <v>203.89740258</v>
      </c>
      <c r="J557" s="62">
        <v>136.72190173000001</v>
      </c>
      <c r="K557" s="62">
        <v>195.99440248000002</v>
      </c>
      <c r="L557" s="49">
        <v>3337.7405333305965</v>
      </c>
      <c r="M557" s="49">
        <v>3102.1464843142248</v>
      </c>
      <c r="N557" s="49">
        <v>2925.7019719093914</v>
      </c>
      <c r="O557" s="61">
        <v>23.573687983594013</v>
      </c>
      <c r="P557" s="60"/>
      <c r="Q557" s="55" t="s">
        <v>45</v>
      </c>
      <c r="R557" s="9">
        <v>15.68061298576</v>
      </c>
      <c r="S557" s="55" t="s">
        <v>45</v>
      </c>
      <c r="T557" s="9">
        <v>17.422903317511111</v>
      </c>
      <c r="U557" s="55" t="s">
        <v>45</v>
      </c>
      <c r="V557" s="9">
        <v>8.89</v>
      </c>
      <c r="W557" s="58" t="s">
        <v>187</v>
      </c>
      <c r="X557" s="9">
        <v>172.27381816720001</v>
      </c>
      <c r="Y557" s="58" t="s">
        <v>187</v>
      </c>
      <c r="Z557" s="9">
        <v>49.221090904914284</v>
      </c>
      <c r="AA557" s="55" t="s">
        <v>45</v>
      </c>
      <c r="AB557" s="55" t="s">
        <v>267</v>
      </c>
      <c r="AC557" s="9">
        <v>25.118129556060058</v>
      </c>
      <c r="AD557" s="58" t="s">
        <v>45</v>
      </c>
      <c r="AE557" s="58" t="s">
        <v>187</v>
      </c>
      <c r="AF557" s="9">
        <v>24.744854406715788</v>
      </c>
      <c r="AG557" s="54" t="s">
        <v>171</v>
      </c>
      <c r="AH557" s="55" t="s">
        <v>267</v>
      </c>
      <c r="AI557" s="9">
        <v>22.707566862519524</v>
      </c>
      <c r="AJ557" s="54" t="s">
        <v>171</v>
      </c>
      <c r="AK557" s="58" t="s">
        <v>187</v>
      </c>
      <c r="AL557" s="9">
        <v>21.948185167883871</v>
      </c>
      <c r="AM557" s="55" t="s">
        <v>45</v>
      </c>
      <c r="AN557" s="52" t="s">
        <v>87</v>
      </c>
      <c r="AO557" s="9">
        <v>21.914047864634284</v>
      </c>
      <c r="AP557" s="60"/>
      <c r="AQ557" s="55" t="s">
        <v>45</v>
      </c>
      <c r="AR557" s="9">
        <v>13.723197920992</v>
      </c>
      <c r="AS557" s="55" t="s">
        <v>45</v>
      </c>
      <c r="AT557" s="9">
        <v>6.8615989604959999</v>
      </c>
      <c r="AU557" s="58" t="s">
        <v>2520</v>
      </c>
      <c r="AV557" s="9">
        <v>3.5</v>
      </c>
      <c r="AW557" s="55" t="s">
        <v>187</v>
      </c>
      <c r="AX557" s="9">
        <v>239.55996101860001</v>
      </c>
      <c r="AY557" s="58" t="s">
        <v>187</v>
      </c>
      <c r="AZ557" s="9">
        <v>3.1941328135813336</v>
      </c>
      <c r="BA557" s="58" t="s">
        <v>45</v>
      </c>
      <c r="BB557" s="58" t="s">
        <v>187</v>
      </c>
      <c r="BC557" s="9">
        <v>17.236685166908281</v>
      </c>
      <c r="BD557" s="58" t="s">
        <v>45</v>
      </c>
      <c r="BE557" s="58" t="s">
        <v>267</v>
      </c>
      <c r="BF557" s="9">
        <v>15.842165722688971</v>
      </c>
      <c r="BG557" s="63" t="s">
        <v>171</v>
      </c>
      <c r="BH557" s="55" t="s">
        <v>187</v>
      </c>
      <c r="BI557" s="9">
        <v>14.957449870552232</v>
      </c>
      <c r="BJ557" s="55" t="s">
        <v>45</v>
      </c>
      <c r="BK557" s="56" t="s">
        <v>87</v>
      </c>
      <c r="BL557" s="9">
        <v>14.440248439261195</v>
      </c>
      <c r="BM557" s="54" t="s">
        <v>171</v>
      </c>
      <c r="BN557" s="58" t="s">
        <v>267</v>
      </c>
      <c r="BO557" s="9">
        <v>13.612633376720748</v>
      </c>
    </row>
    <row r="558" spans="1:67" x14ac:dyDescent="0.45">
      <c r="A558" s="10">
        <v>535</v>
      </c>
      <c r="B558" s="10" t="s">
        <v>3152</v>
      </c>
      <c r="C558" s="288" t="s">
        <v>1993</v>
      </c>
      <c r="D558" s="65"/>
      <c r="E558" s="290" t="s">
        <v>2201</v>
      </c>
      <c r="F558" s="59" t="s">
        <v>2202</v>
      </c>
      <c r="G558" s="242"/>
      <c r="H558" s="10"/>
      <c r="I558" s="62">
        <v>89.30390113</v>
      </c>
      <c r="J558" s="62">
        <v>73.49790093</v>
      </c>
      <c r="K558" s="62">
        <v>120.12560152</v>
      </c>
      <c r="L558" s="49">
        <v>839.12311887146666</v>
      </c>
      <c r="M558" s="49">
        <v>853.46810331846723</v>
      </c>
      <c r="N558" s="49">
        <v>865.1204566288427</v>
      </c>
      <c r="O558" s="61">
        <v>8.2244963423075497</v>
      </c>
      <c r="P558" s="60"/>
      <c r="Q558" s="73" t="s">
        <v>214</v>
      </c>
      <c r="R558" s="9">
        <v>7.4298808813599999</v>
      </c>
      <c r="S558" s="73" t="s">
        <v>214</v>
      </c>
      <c r="T558" s="9">
        <v>6.1915674011333337</v>
      </c>
      <c r="U558" s="73" t="s">
        <v>2381</v>
      </c>
      <c r="V558" s="9">
        <v>11.667</v>
      </c>
      <c r="W558" s="63" t="s">
        <v>167</v>
      </c>
      <c r="X558" s="9">
        <v>50.117145621500001</v>
      </c>
      <c r="Y558" s="63" t="s">
        <v>167</v>
      </c>
      <c r="Z558" s="9">
        <v>15.661608006718749</v>
      </c>
      <c r="AA558" s="73" t="s">
        <v>214</v>
      </c>
      <c r="AB558" s="73" t="s">
        <v>238</v>
      </c>
      <c r="AC558" s="9">
        <v>8.6889406747366422</v>
      </c>
      <c r="AD558" s="288" t="s">
        <v>214</v>
      </c>
      <c r="AE558" s="63" t="s">
        <v>167</v>
      </c>
      <c r="AF558" s="9">
        <v>8.559077552529688</v>
      </c>
      <c r="AG558" s="73" t="s">
        <v>214</v>
      </c>
      <c r="AH558" s="71" t="s">
        <v>99</v>
      </c>
      <c r="AI558" s="9">
        <v>8.3861871938481087</v>
      </c>
      <c r="AJ558" s="71" t="s">
        <v>144</v>
      </c>
      <c r="AK558" s="288" t="s">
        <v>238</v>
      </c>
      <c r="AL558" s="9">
        <v>8.2286898040973284</v>
      </c>
      <c r="AM558" s="71" t="s">
        <v>144</v>
      </c>
      <c r="AN558" s="54" t="s">
        <v>167</v>
      </c>
      <c r="AO558" s="9">
        <v>8.0824679135450825</v>
      </c>
      <c r="AP558" s="60"/>
      <c r="AQ558" s="73" t="s">
        <v>214</v>
      </c>
      <c r="AR558" s="9">
        <v>6.572563430512</v>
      </c>
      <c r="AS558" s="73" t="s">
        <v>214</v>
      </c>
      <c r="AT558" s="9">
        <v>2.1908544768373335</v>
      </c>
      <c r="AU558" s="80" t="s">
        <v>144</v>
      </c>
      <c r="AV558" s="9">
        <v>4.5</v>
      </c>
      <c r="AW558" s="54" t="s">
        <v>167</v>
      </c>
      <c r="AX558" s="9">
        <v>64.852289307950002</v>
      </c>
      <c r="AY558" s="63" t="s">
        <v>167</v>
      </c>
      <c r="AZ558" s="9">
        <v>0.99772752781461538</v>
      </c>
      <c r="BA558" s="288" t="s">
        <v>214</v>
      </c>
      <c r="BB558" s="63" t="s">
        <v>167</v>
      </c>
      <c r="BC558" s="9">
        <v>5.5368534241297578</v>
      </c>
      <c r="BD558" s="80" t="s">
        <v>144</v>
      </c>
      <c r="BE558" s="63" t="s">
        <v>167</v>
      </c>
      <c r="BF558" s="9">
        <v>5.4810309241282376</v>
      </c>
      <c r="BG558" s="288" t="s">
        <v>214</v>
      </c>
      <c r="BH558" s="73" t="s">
        <v>238</v>
      </c>
      <c r="BI558" s="9">
        <v>4.9304347435471199</v>
      </c>
      <c r="BJ558" s="73" t="s">
        <v>214</v>
      </c>
      <c r="BK558" s="80" t="s">
        <v>99</v>
      </c>
      <c r="BL558" s="9">
        <v>4.7716803695740841</v>
      </c>
      <c r="BM558" s="71" t="s">
        <v>144</v>
      </c>
      <c r="BN558" s="288" t="s">
        <v>238</v>
      </c>
      <c r="BO558" s="9">
        <v>4.7467049184102326</v>
      </c>
    </row>
    <row r="559" spans="1:67" x14ac:dyDescent="0.45">
      <c r="A559" s="10">
        <v>536</v>
      </c>
      <c r="B559" s="10" t="s">
        <v>3153</v>
      </c>
      <c r="C559" s="80" t="s">
        <v>2146</v>
      </c>
      <c r="D559" s="79" t="s">
        <v>1983</v>
      </c>
      <c r="E559" s="58"/>
      <c r="F559" s="63" t="s">
        <v>2292</v>
      </c>
      <c r="G559" s="242"/>
      <c r="H559" s="10"/>
      <c r="I559" s="62">
        <v>113.01290143000001</v>
      </c>
      <c r="J559" s="62">
        <v>97.99720124000001</v>
      </c>
      <c r="K559" s="62">
        <v>154.89880196000001</v>
      </c>
      <c r="L559" s="49">
        <v>1392.3835718805317</v>
      </c>
      <c r="M559" s="49">
        <v>1433.0450308302347</v>
      </c>
      <c r="N559" s="49">
        <v>1466.4274955764167</v>
      </c>
      <c r="O559" s="61">
        <v>13.824852240393886</v>
      </c>
      <c r="P559" s="60"/>
      <c r="Q559" s="73" t="s">
        <v>214</v>
      </c>
      <c r="R559" s="9">
        <v>9.1369289029600012</v>
      </c>
      <c r="S559" s="73" t="s">
        <v>214</v>
      </c>
      <c r="T559" s="9">
        <v>7.6141074191333349</v>
      </c>
      <c r="U559" s="73" t="s">
        <v>2381</v>
      </c>
      <c r="V559" s="9">
        <v>11.667</v>
      </c>
      <c r="W559" s="80" t="s">
        <v>153</v>
      </c>
      <c r="X559" s="9">
        <v>68.807740858000003</v>
      </c>
      <c r="Y559" s="63" t="s">
        <v>167</v>
      </c>
      <c r="Z559" s="9">
        <v>19.736592433281253</v>
      </c>
      <c r="AA559" s="73" t="s">
        <v>214</v>
      </c>
      <c r="AB559" s="71" t="s">
        <v>153</v>
      </c>
      <c r="AC559" s="9">
        <v>12.863721169927537</v>
      </c>
      <c r="AD559" s="80" t="s">
        <v>144</v>
      </c>
      <c r="AE559" s="80" t="s">
        <v>153</v>
      </c>
      <c r="AF559" s="9">
        <v>12.702419169402173</v>
      </c>
      <c r="AG559" s="73" t="s">
        <v>214</v>
      </c>
      <c r="AH559" s="73" t="s">
        <v>238</v>
      </c>
      <c r="AI559" s="9">
        <v>10.833609785843514</v>
      </c>
      <c r="AJ559" s="71" t="s">
        <v>144</v>
      </c>
      <c r="AK559" s="288" t="s">
        <v>238</v>
      </c>
      <c r="AL559" s="9">
        <v>10.663688594450383</v>
      </c>
      <c r="AM559" s="73" t="s">
        <v>214</v>
      </c>
      <c r="AN559" s="54" t="s">
        <v>167</v>
      </c>
      <c r="AO559" s="9">
        <v>10.644728672670313</v>
      </c>
      <c r="AP559" s="60"/>
      <c r="AQ559" s="73" t="s">
        <v>214</v>
      </c>
      <c r="AR559" s="9">
        <v>8.052005049232001</v>
      </c>
      <c r="AS559" s="73" t="s">
        <v>214</v>
      </c>
      <c r="AT559" s="9">
        <v>2.6840016830773337</v>
      </c>
      <c r="AU559" s="80" t="s">
        <v>144</v>
      </c>
      <c r="AV559" s="9">
        <v>4.5</v>
      </c>
      <c r="AW559" s="54" t="s">
        <v>167</v>
      </c>
      <c r="AX559" s="9">
        <v>81.804224522450014</v>
      </c>
      <c r="AY559" s="80" t="s">
        <v>153</v>
      </c>
      <c r="AZ559" s="9">
        <v>1.4606373964338184</v>
      </c>
      <c r="BA559" s="80" t="s">
        <v>144</v>
      </c>
      <c r="BB559" s="80" t="s">
        <v>153</v>
      </c>
      <c r="BC559" s="9">
        <v>7.7601942468500011</v>
      </c>
      <c r="BD559" s="288" t="s">
        <v>214</v>
      </c>
      <c r="BE559" s="80" t="s">
        <v>153</v>
      </c>
      <c r="BF559" s="9">
        <v>7.5371926281262507</v>
      </c>
      <c r="BG559" s="80" t="s">
        <v>144</v>
      </c>
      <c r="BH559" s="54" t="s">
        <v>167</v>
      </c>
      <c r="BI559" s="9">
        <v>7.0009398832883463</v>
      </c>
      <c r="BJ559" s="73" t="s">
        <v>214</v>
      </c>
      <c r="BK559" s="63" t="s">
        <v>167</v>
      </c>
      <c r="BL559" s="9">
        <v>6.9088679511991762</v>
      </c>
      <c r="BM559" s="73" t="s">
        <v>214</v>
      </c>
      <c r="BN559" s="288" t="s">
        <v>238</v>
      </c>
      <c r="BO559" s="9">
        <v>6.1407109368717281</v>
      </c>
    </row>
    <row r="560" spans="1:67" x14ac:dyDescent="0.45">
      <c r="A560" s="10">
        <v>537</v>
      </c>
      <c r="B560" s="10" t="s">
        <v>3154</v>
      </c>
      <c r="C560" s="80" t="s">
        <v>2146</v>
      </c>
      <c r="D560" s="79" t="s">
        <v>1983</v>
      </c>
      <c r="E560" s="58"/>
      <c r="F560" s="63" t="s">
        <v>2292</v>
      </c>
      <c r="G560" s="242"/>
      <c r="H560" s="10"/>
      <c r="I560" s="62">
        <v>160.43090203</v>
      </c>
      <c r="J560" s="62">
        <v>130.39950165000002</v>
      </c>
      <c r="K560" s="62">
        <v>195.99440248000002</v>
      </c>
      <c r="L560" s="49">
        <v>2564.7664577384267</v>
      </c>
      <c r="M560" s="49">
        <v>2561.7598623178883</v>
      </c>
      <c r="N560" s="49">
        <v>2559.3571238469831</v>
      </c>
      <c r="O560" s="61">
        <v>22.609327385827878</v>
      </c>
      <c r="P560" s="60"/>
      <c r="Q560" s="73" t="s">
        <v>214</v>
      </c>
      <c r="R560" s="9">
        <v>12.55102494616</v>
      </c>
      <c r="S560" s="73" t="s">
        <v>214</v>
      </c>
      <c r="T560" s="9">
        <v>10.459187455133334</v>
      </c>
      <c r="U560" s="73" t="s">
        <v>2381</v>
      </c>
      <c r="V560" s="9">
        <v>11.667</v>
      </c>
      <c r="W560" s="80" t="s">
        <v>153</v>
      </c>
      <c r="X560" s="9">
        <v>97.258541217999991</v>
      </c>
      <c r="Y560" s="63" t="s">
        <v>124</v>
      </c>
      <c r="Z560" s="9">
        <v>28.335809048695651</v>
      </c>
      <c r="AA560" s="73" t="s">
        <v>214</v>
      </c>
      <c r="AB560" s="71" t="s">
        <v>153</v>
      </c>
      <c r="AC560" s="9">
        <v>18.017851669927538</v>
      </c>
      <c r="AD560" s="80" t="s">
        <v>144</v>
      </c>
      <c r="AE560" s="80" t="s">
        <v>153</v>
      </c>
      <c r="AF560" s="9">
        <v>17.598843144402171</v>
      </c>
      <c r="AG560" s="73" t="s">
        <v>214</v>
      </c>
      <c r="AH560" s="54" t="s">
        <v>124</v>
      </c>
      <c r="AI560" s="9">
        <v>16.702432740520607</v>
      </c>
      <c r="AJ560" s="71" t="s">
        <v>144</v>
      </c>
      <c r="AK560" s="63" t="s">
        <v>124</v>
      </c>
      <c r="AL560" s="9">
        <v>16.200713204533624</v>
      </c>
      <c r="AM560" s="73" t="s">
        <v>214</v>
      </c>
      <c r="AN560" s="73" t="s">
        <v>178</v>
      </c>
      <c r="AO560" s="9">
        <v>15.623972976431261</v>
      </c>
      <c r="AP560" s="60"/>
      <c r="AQ560" s="73" t="s">
        <v>214</v>
      </c>
      <c r="AR560" s="9">
        <v>11.010888286671999</v>
      </c>
      <c r="AS560" s="73" t="s">
        <v>214</v>
      </c>
      <c r="AT560" s="9">
        <v>3.6702960955573332</v>
      </c>
      <c r="AU560" s="80" t="s">
        <v>144</v>
      </c>
      <c r="AV560" s="9">
        <v>4.5</v>
      </c>
      <c r="AW560" s="71" t="s">
        <v>153</v>
      </c>
      <c r="AX560" s="9">
        <v>113.62249322506</v>
      </c>
      <c r="AY560" s="80" t="s">
        <v>153</v>
      </c>
      <c r="AZ560" s="9">
        <v>2.0658635131829088</v>
      </c>
      <c r="BA560" s="80" t="s">
        <v>144</v>
      </c>
      <c r="BB560" s="80" t="s">
        <v>153</v>
      </c>
      <c r="BC560" s="9">
        <v>10.79056310872395</v>
      </c>
      <c r="BD560" s="288" t="s">
        <v>214</v>
      </c>
      <c r="BE560" s="80" t="s">
        <v>153</v>
      </c>
      <c r="BF560" s="9">
        <v>10.542308416151251</v>
      </c>
      <c r="BG560" s="288" t="s">
        <v>214</v>
      </c>
      <c r="BH560" s="54" t="s">
        <v>124</v>
      </c>
      <c r="BI560" s="9">
        <v>9.18763462077764</v>
      </c>
      <c r="BJ560" s="71" t="s">
        <v>144</v>
      </c>
      <c r="BK560" s="63" t="s">
        <v>124</v>
      </c>
      <c r="BL560" s="9">
        <v>9.1515667603256894</v>
      </c>
      <c r="BM560" s="73" t="s">
        <v>214</v>
      </c>
      <c r="BN560" s="288" t="s">
        <v>178</v>
      </c>
      <c r="BO560" s="9">
        <v>7.5703024899104312</v>
      </c>
    </row>
    <row r="561" spans="1:67" x14ac:dyDescent="0.45">
      <c r="A561" s="10">
        <v>538</v>
      </c>
      <c r="B561" s="10" t="s">
        <v>3155</v>
      </c>
      <c r="C561" s="58" t="s">
        <v>1903</v>
      </c>
      <c r="D561" s="65"/>
      <c r="E561" s="287" t="s">
        <v>2235</v>
      </c>
      <c r="F561" s="289" t="s">
        <v>2236</v>
      </c>
      <c r="G561" s="242"/>
      <c r="H561" s="10"/>
      <c r="I561" s="62">
        <v>147.78610187000001</v>
      </c>
      <c r="J561" s="62">
        <v>138.30250175</v>
      </c>
      <c r="K561" s="62">
        <v>217.33250275</v>
      </c>
      <c r="L561" s="49">
        <v>2562.18776295608</v>
      </c>
      <c r="M561" s="49">
        <v>2702.2500957601396</v>
      </c>
      <c r="N561" s="49">
        <v>2819.7928922886254</v>
      </c>
      <c r="O561" s="61">
        <v>26.405660003122065</v>
      </c>
      <c r="P561" s="60"/>
      <c r="Q561" s="57" t="s">
        <v>95</v>
      </c>
      <c r="R561" s="9">
        <v>9.8671661122000014</v>
      </c>
      <c r="S561" s="55" t="s">
        <v>140</v>
      </c>
      <c r="T561" s="9">
        <v>10.533832778866667</v>
      </c>
      <c r="U561" s="55" t="s">
        <v>140</v>
      </c>
      <c r="V561" s="9">
        <v>10</v>
      </c>
      <c r="W561" s="58" t="s">
        <v>187</v>
      </c>
      <c r="X561" s="9">
        <v>125.1403255708</v>
      </c>
      <c r="Y561" s="58" t="s">
        <v>187</v>
      </c>
      <c r="Z561" s="9">
        <v>35.754378734514283</v>
      </c>
      <c r="AA561" s="55" t="s">
        <v>140</v>
      </c>
      <c r="AB561" s="55" t="s">
        <v>187</v>
      </c>
      <c r="AC561" s="9">
        <v>16.977037950017518</v>
      </c>
      <c r="AD561" s="242" t="s">
        <v>95</v>
      </c>
      <c r="AE561" s="58" t="s">
        <v>187</v>
      </c>
      <c r="AF561" s="9">
        <v>15.435309427089656</v>
      </c>
      <c r="AG561" s="55" t="s">
        <v>140</v>
      </c>
      <c r="AH561" s="15" t="s">
        <v>1480</v>
      </c>
      <c r="AI561" s="9">
        <v>13.960376063131637</v>
      </c>
      <c r="AJ561" s="55" t="s">
        <v>140</v>
      </c>
      <c r="AK561" s="58" t="s">
        <v>201</v>
      </c>
      <c r="AL561" s="9">
        <v>13.677982237902338</v>
      </c>
      <c r="AM561" s="57" t="s">
        <v>95</v>
      </c>
      <c r="AN561" s="15" t="s">
        <v>1480</v>
      </c>
      <c r="AO561" s="9">
        <v>12.725223803862276</v>
      </c>
      <c r="AP561" s="60"/>
      <c r="AQ561" s="57" t="s">
        <v>95</v>
      </c>
      <c r="AR561" s="9">
        <v>8.6848772972399999</v>
      </c>
      <c r="AS561" s="57" t="s">
        <v>95</v>
      </c>
      <c r="AT561" s="9">
        <v>2.8949590990799998</v>
      </c>
      <c r="AU561" s="58" t="s">
        <v>140</v>
      </c>
      <c r="AV561" s="9">
        <v>2.5</v>
      </c>
      <c r="AW561" s="55" t="s">
        <v>187</v>
      </c>
      <c r="AX561" s="9">
        <v>173.90973918790002</v>
      </c>
      <c r="AY561" s="58" t="s">
        <v>187</v>
      </c>
      <c r="AZ561" s="9">
        <v>2.3187965225053335</v>
      </c>
      <c r="BA561" s="58" t="s">
        <v>140</v>
      </c>
      <c r="BB561" s="58" t="s">
        <v>187</v>
      </c>
      <c r="BC561" s="9">
        <v>8.3249559633245163</v>
      </c>
      <c r="BD561" s="242" t="s">
        <v>95</v>
      </c>
      <c r="BE561" s="58" t="s">
        <v>187</v>
      </c>
      <c r="BF561" s="9">
        <v>7.3369014390493508</v>
      </c>
      <c r="BG561" s="58" t="s">
        <v>140</v>
      </c>
      <c r="BH561" s="15" t="s">
        <v>1480</v>
      </c>
      <c r="BI561" s="9">
        <v>6.5275376251805337</v>
      </c>
      <c r="BJ561" s="57" t="s">
        <v>95</v>
      </c>
      <c r="BK561" s="64" t="s">
        <v>1480</v>
      </c>
      <c r="BL561" s="9">
        <v>5.9080196736864865</v>
      </c>
      <c r="BM561" s="55" t="s">
        <v>140</v>
      </c>
      <c r="BN561" s="58" t="s">
        <v>201</v>
      </c>
      <c r="BO561" s="9">
        <v>5.4115691064818838</v>
      </c>
    </row>
    <row r="562" spans="1:67" x14ac:dyDescent="0.45">
      <c r="A562" s="10">
        <v>539</v>
      </c>
      <c r="B562" s="10" t="s">
        <v>3156</v>
      </c>
      <c r="C562" s="58" t="s">
        <v>1903</v>
      </c>
      <c r="D562" s="65"/>
      <c r="E562" s="287" t="s">
        <v>2235</v>
      </c>
      <c r="F562" s="289" t="s">
        <v>2236</v>
      </c>
      <c r="G562" s="242"/>
      <c r="H562" s="10"/>
      <c r="I562" s="62">
        <v>194.41380246</v>
      </c>
      <c r="J562" s="62">
        <v>132.77040168000002</v>
      </c>
      <c r="K562" s="62">
        <v>154.89880196000001</v>
      </c>
      <c r="L562" s="49">
        <v>2788.0577070093609</v>
      </c>
      <c r="M562" s="49">
        <v>2519.1321370946912</v>
      </c>
      <c r="N562" s="49">
        <v>2322.7918854342206</v>
      </c>
      <c r="O562" s="61">
        <v>18.15546744996055</v>
      </c>
      <c r="P562" s="60"/>
      <c r="Q562" s="54" t="s">
        <v>171</v>
      </c>
      <c r="R562" s="9">
        <v>10.720690123000001</v>
      </c>
      <c r="S562" s="54" t="s">
        <v>171</v>
      </c>
      <c r="T562" s="9">
        <v>13.40086265375</v>
      </c>
      <c r="U562" s="55" t="s">
        <v>140</v>
      </c>
      <c r="V562" s="9">
        <v>10</v>
      </c>
      <c r="W562" s="58" t="s">
        <v>187</v>
      </c>
      <c r="X562" s="9">
        <v>164.30759406639999</v>
      </c>
      <c r="Y562" s="58" t="s">
        <v>187</v>
      </c>
      <c r="Z562" s="9">
        <v>46.945026876114284</v>
      </c>
      <c r="AA562" s="55" t="s">
        <v>140</v>
      </c>
      <c r="AB562" s="55" t="s">
        <v>187</v>
      </c>
      <c r="AC562" s="9">
        <v>21.918893516198541</v>
      </c>
      <c r="AD562" s="63" t="s">
        <v>171</v>
      </c>
      <c r="AE562" s="58" t="s">
        <v>187</v>
      </c>
      <c r="AF562" s="9">
        <v>20.97535134912258</v>
      </c>
      <c r="AG562" s="55" t="s">
        <v>140</v>
      </c>
      <c r="AH562" s="15" t="s">
        <v>1480</v>
      </c>
      <c r="AI562" s="9">
        <v>17.969764330424628</v>
      </c>
      <c r="AJ562" s="54" t="s">
        <v>171</v>
      </c>
      <c r="AK562" s="64" t="s">
        <v>1480</v>
      </c>
      <c r="AL562" s="9">
        <v>17.629203296205169</v>
      </c>
      <c r="AM562" s="55" t="s">
        <v>140</v>
      </c>
      <c r="AN562" s="55" t="s">
        <v>201</v>
      </c>
      <c r="AO562" s="9">
        <v>17.598272988144377</v>
      </c>
      <c r="AP562" s="60"/>
      <c r="AQ562" s="54" t="s">
        <v>171</v>
      </c>
      <c r="AR562" s="9">
        <v>8.5821382959400001</v>
      </c>
      <c r="AS562" s="54" t="s">
        <v>171</v>
      </c>
      <c r="AT562" s="9">
        <v>4.2910691479700001</v>
      </c>
      <c r="AU562" s="63" t="s">
        <v>171</v>
      </c>
      <c r="AV562" s="9">
        <v>3.5</v>
      </c>
      <c r="AW562" s="55" t="s">
        <v>187</v>
      </c>
      <c r="AX562" s="9">
        <v>228.46414887820001</v>
      </c>
      <c r="AY562" s="58" t="s">
        <v>187</v>
      </c>
      <c r="AZ562" s="9">
        <v>3.0461886517093335</v>
      </c>
      <c r="BA562" s="63" t="s">
        <v>171</v>
      </c>
      <c r="BB562" s="58" t="s">
        <v>187</v>
      </c>
      <c r="BC562" s="9">
        <v>14.286047225114013</v>
      </c>
      <c r="BD562" s="63" t="s">
        <v>171</v>
      </c>
      <c r="BE562" s="64" t="s">
        <v>1480</v>
      </c>
      <c r="BF562" s="9">
        <v>10.884734039918182</v>
      </c>
      <c r="BG562" s="58" t="s">
        <v>140</v>
      </c>
      <c r="BH562" s="55" t="s">
        <v>187</v>
      </c>
      <c r="BI562" s="9">
        <v>10.788703497725162</v>
      </c>
      <c r="BJ562" s="54" t="s">
        <v>171</v>
      </c>
      <c r="BK562" s="58" t="s">
        <v>201</v>
      </c>
      <c r="BL562" s="9">
        <v>8.9067273150602304</v>
      </c>
      <c r="BM562" s="55" t="s">
        <v>140</v>
      </c>
      <c r="BN562" s="64" t="s">
        <v>1480</v>
      </c>
      <c r="BO562" s="9">
        <v>8.4187571611109338</v>
      </c>
    </row>
    <row r="563" spans="1:67" x14ac:dyDescent="0.45">
      <c r="A563" s="10">
        <v>543</v>
      </c>
      <c r="B563" s="10" t="s">
        <v>3157</v>
      </c>
      <c r="C563" s="63" t="s">
        <v>2109</v>
      </c>
      <c r="D563" s="65"/>
      <c r="E563" s="287" t="s">
        <v>2206</v>
      </c>
      <c r="F563" s="63" t="s">
        <v>2207</v>
      </c>
      <c r="G563" s="58" t="s">
        <v>2164</v>
      </c>
      <c r="H563" s="10"/>
      <c r="I563" s="62">
        <v>77.449400980000007</v>
      </c>
      <c r="J563" s="62">
        <v>90.09420114000001</v>
      </c>
      <c r="K563" s="62">
        <v>92.465101170000011</v>
      </c>
      <c r="L563" s="49">
        <v>706.89580941037843</v>
      </c>
      <c r="M563" s="49">
        <v>746.6696532133368</v>
      </c>
      <c r="N563" s="49">
        <v>780.09406829672707</v>
      </c>
      <c r="O563" s="61">
        <v>7.6420637909352038</v>
      </c>
      <c r="P563" s="60"/>
      <c r="Q563" s="54" t="s">
        <v>2374</v>
      </c>
      <c r="R563" s="9">
        <v>3.3234820294</v>
      </c>
      <c r="S563" s="69" t="s">
        <v>38</v>
      </c>
      <c r="T563" s="9">
        <v>6.6469640588000001</v>
      </c>
      <c r="U563" s="69" t="s">
        <v>38</v>
      </c>
      <c r="V563" s="9">
        <v>12</v>
      </c>
      <c r="W563" s="63" t="s">
        <v>124</v>
      </c>
      <c r="X563" s="9">
        <v>38.175712470400001</v>
      </c>
      <c r="Y563" s="63" t="s">
        <v>124</v>
      </c>
      <c r="Z563" s="9">
        <v>16.598135856695652</v>
      </c>
      <c r="AA563" s="69" t="s">
        <v>38</v>
      </c>
      <c r="AB563" s="54" t="s">
        <v>124</v>
      </c>
      <c r="AC563" s="9">
        <v>10.186298358051546</v>
      </c>
      <c r="AD563" s="63" t="s">
        <v>92</v>
      </c>
      <c r="AE563" s="63" t="s">
        <v>124</v>
      </c>
      <c r="AF563" s="9">
        <v>9.4013902117744035</v>
      </c>
      <c r="AG563" s="69" t="s">
        <v>38</v>
      </c>
      <c r="AH563" s="69" t="s">
        <v>1534</v>
      </c>
      <c r="AI563" s="9">
        <v>8.9926293423584927</v>
      </c>
      <c r="AJ563" s="54" t="s">
        <v>92</v>
      </c>
      <c r="AK563" s="289" t="s">
        <v>1534</v>
      </c>
      <c r="AL563" s="9">
        <v>8.2930360746918481</v>
      </c>
      <c r="AM563" s="69" t="s">
        <v>38</v>
      </c>
      <c r="AN563" s="53" t="s">
        <v>194</v>
      </c>
      <c r="AO563" s="9">
        <v>7.9922469603125013</v>
      </c>
      <c r="AP563" s="60"/>
      <c r="AQ563" s="54" t="s">
        <v>2374</v>
      </c>
      <c r="AR563" s="9">
        <v>2.8123159829320001</v>
      </c>
      <c r="AS563" s="69" t="s">
        <v>38</v>
      </c>
      <c r="AT563" s="9">
        <v>2.8123159829320001</v>
      </c>
      <c r="AU563" s="63" t="s">
        <v>2450</v>
      </c>
      <c r="AV563" s="9">
        <v>3</v>
      </c>
      <c r="AW563" s="54" t="s">
        <v>124</v>
      </c>
      <c r="AX563" s="9">
        <v>49.328426211520004</v>
      </c>
      <c r="AY563" s="63" t="s">
        <v>124</v>
      </c>
      <c r="AZ563" s="9">
        <v>0.98656852423040009</v>
      </c>
      <c r="BA563" s="289" t="s">
        <v>38</v>
      </c>
      <c r="BB563" s="63" t="s">
        <v>124</v>
      </c>
      <c r="BC563" s="9">
        <v>5.4453033543615099</v>
      </c>
      <c r="BD563" s="289" t="s">
        <v>38</v>
      </c>
      <c r="BE563" s="289" t="s">
        <v>1534</v>
      </c>
      <c r="BF563" s="9">
        <v>5.0620875479510348</v>
      </c>
      <c r="BG563" s="289" t="s">
        <v>38</v>
      </c>
      <c r="BH563" s="53" t="s">
        <v>194</v>
      </c>
      <c r="BI563" s="9">
        <v>4.6438099127733334</v>
      </c>
      <c r="BJ563" s="54" t="s">
        <v>92</v>
      </c>
      <c r="BK563" s="63" t="s">
        <v>124</v>
      </c>
      <c r="BL563" s="9">
        <v>4.1187392114690562</v>
      </c>
      <c r="BM563" s="54" t="s">
        <v>92</v>
      </c>
      <c r="BN563" s="289" t="s">
        <v>1534</v>
      </c>
      <c r="BO563" s="9">
        <v>3.7286618663884488</v>
      </c>
    </row>
    <row r="564" spans="1:67" x14ac:dyDescent="0.45">
      <c r="A564" s="10">
        <v>544</v>
      </c>
      <c r="B564" s="10" t="s">
        <v>3158</v>
      </c>
      <c r="C564" s="63" t="s">
        <v>2109</v>
      </c>
      <c r="D564" s="65"/>
      <c r="E564" s="287" t="s">
        <v>2206</v>
      </c>
      <c r="F564" s="63" t="s">
        <v>2207</v>
      </c>
      <c r="G564" s="58" t="s">
        <v>2164</v>
      </c>
      <c r="H564" s="10"/>
      <c r="I564" s="62">
        <v>90.884501150000006</v>
      </c>
      <c r="J564" s="62">
        <v>148.57640188000002</v>
      </c>
      <c r="K564" s="62">
        <v>106.69050135000001</v>
      </c>
      <c r="L564" s="49">
        <v>1144.2676607586277</v>
      </c>
      <c r="M564" s="49">
        <v>1275.5875749369961</v>
      </c>
      <c r="N564" s="49">
        <v>1391.4141167162866</v>
      </c>
      <c r="O564" s="61">
        <v>13.801163579027131</v>
      </c>
      <c r="P564" s="60"/>
      <c r="Q564" s="54" t="s">
        <v>2374</v>
      </c>
      <c r="R564" s="9">
        <v>3.7265350344999999</v>
      </c>
      <c r="S564" s="69" t="s">
        <v>38</v>
      </c>
      <c r="T564" s="9">
        <v>7.4530700689999998</v>
      </c>
      <c r="U564" s="69" t="s">
        <v>38</v>
      </c>
      <c r="V564" s="9">
        <v>12</v>
      </c>
      <c r="W564" s="63" t="s">
        <v>124</v>
      </c>
      <c r="X564" s="9">
        <v>44.624560551999998</v>
      </c>
      <c r="Y564" s="63" t="s">
        <v>124</v>
      </c>
      <c r="Z564" s="9">
        <v>19.401982848695653</v>
      </c>
      <c r="AA564" s="69" t="s">
        <v>38</v>
      </c>
      <c r="AB564" s="54" t="s">
        <v>124</v>
      </c>
      <c r="AC564" s="9">
        <v>11.702941109201031</v>
      </c>
      <c r="AD564" s="63" t="s">
        <v>92</v>
      </c>
      <c r="AE564" s="63" t="s">
        <v>124</v>
      </c>
      <c r="AF564" s="9">
        <v>10.817758689566162</v>
      </c>
      <c r="AG564" s="69" t="s">
        <v>38</v>
      </c>
      <c r="AH564" s="69" t="s">
        <v>1534</v>
      </c>
      <c r="AI564" s="9">
        <v>10.323464736556604</v>
      </c>
      <c r="AJ564" s="54" t="s">
        <v>92</v>
      </c>
      <c r="AK564" s="289" t="s">
        <v>1534</v>
      </c>
      <c r="AL564" s="9">
        <v>9.5350483170477141</v>
      </c>
      <c r="AM564" s="69" t="s">
        <v>38</v>
      </c>
      <c r="AN564" s="53" t="s">
        <v>194</v>
      </c>
      <c r="AO564" s="9">
        <v>9.1618204126116076</v>
      </c>
      <c r="AP564" s="60"/>
      <c r="AQ564" s="54" t="s">
        <v>2374</v>
      </c>
      <c r="AR564" s="9">
        <v>3.12669732691</v>
      </c>
      <c r="AS564" s="69" t="s">
        <v>38</v>
      </c>
      <c r="AT564" s="9">
        <v>3.12669732691</v>
      </c>
      <c r="AU564" s="63" t="s">
        <v>2450</v>
      </c>
      <c r="AV564" s="9">
        <v>3</v>
      </c>
      <c r="AW564" s="54" t="s">
        <v>124</v>
      </c>
      <c r="AX564" s="9">
        <v>57.711928717600003</v>
      </c>
      <c r="AY564" s="63" t="s">
        <v>124</v>
      </c>
      <c r="AZ564" s="9">
        <v>1.1542385743520001</v>
      </c>
      <c r="BA564" s="289" t="s">
        <v>38</v>
      </c>
      <c r="BB564" s="63" t="s">
        <v>124</v>
      </c>
      <c r="BC564" s="9">
        <v>6.216427405628302</v>
      </c>
      <c r="BD564" s="289" t="s">
        <v>38</v>
      </c>
      <c r="BE564" s="289" t="s">
        <v>1534</v>
      </c>
      <c r="BF564" s="9">
        <v>5.7667353879017238</v>
      </c>
      <c r="BG564" s="289" t="s">
        <v>38</v>
      </c>
      <c r="BH564" s="53" t="s">
        <v>194</v>
      </c>
      <c r="BI564" s="9">
        <v>5.2758993874380957</v>
      </c>
      <c r="BJ564" s="54" t="s">
        <v>92</v>
      </c>
      <c r="BK564" s="63" t="s">
        <v>124</v>
      </c>
      <c r="BL564" s="9">
        <v>4.7415701759537736</v>
      </c>
      <c r="BM564" s="54" t="s">
        <v>92</v>
      </c>
      <c r="BN564" s="289" t="s">
        <v>1534</v>
      </c>
      <c r="BO564" s="9">
        <v>4.2842495863495698</v>
      </c>
    </row>
    <row r="565" spans="1:67" x14ac:dyDescent="0.45">
      <c r="A565" s="10">
        <v>545</v>
      </c>
      <c r="B565" s="10" t="s">
        <v>3159</v>
      </c>
      <c r="C565" s="63" t="s">
        <v>2109</v>
      </c>
      <c r="D565" s="65"/>
      <c r="E565" s="287" t="s">
        <v>2206</v>
      </c>
      <c r="F565" s="63" t="s">
        <v>2207</v>
      </c>
      <c r="G565" s="58" t="s">
        <v>2164</v>
      </c>
      <c r="H565" s="10"/>
      <c r="I565" s="62">
        <v>172.28540218000001</v>
      </c>
      <c r="J565" s="62">
        <v>150.15700190000001</v>
      </c>
      <c r="K565" s="62">
        <v>134.35100170000001</v>
      </c>
      <c r="L565" s="49">
        <v>2447.0437251538201</v>
      </c>
      <c r="M565" s="49">
        <v>2294.5101622147508</v>
      </c>
      <c r="N565" s="49">
        <v>2179.3580659400045</v>
      </c>
      <c r="O565" s="61">
        <v>17.539991135303982</v>
      </c>
      <c r="P565" s="60"/>
      <c r="Q565" s="54" t="s">
        <v>171</v>
      </c>
      <c r="R565" s="9">
        <v>11.337124130799999</v>
      </c>
      <c r="S565" s="54" t="s">
        <v>171</v>
      </c>
      <c r="T565" s="9">
        <v>14.171405163499999</v>
      </c>
      <c r="U565" s="69" t="s">
        <v>38</v>
      </c>
      <c r="V565" s="9">
        <v>12</v>
      </c>
      <c r="W565" s="289" t="s">
        <v>97</v>
      </c>
      <c r="X565" s="9">
        <v>94.034117177200002</v>
      </c>
      <c r="Y565" s="289" t="s">
        <v>97</v>
      </c>
      <c r="Z565" s="9">
        <v>42.742780535090908</v>
      </c>
      <c r="AA565" s="69" t="s">
        <v>38</v>
      </c>
      <c r="AB565" s="54" t="s">
        <v>124</v>
      </c>
      <c r="AC565" s="9">
        <v>20.892011895577319</v>
      </c>
      <c r="AD565" s="63" t="s">
        <v>171</v>
      </c>
      <c r="AE565" s="63" t="s">
        <v>124</v>
      </c>
      <c r="AF565" s="9">
        <v>20.547863776556149</v>
      </c>
      <c r="AG565" s="54" t="s">
        <v>171</v>
      </c>
      <c r="AH565" s="69" t="s">
        <v>26</v>
      </c>
      <c r="AI565" s="9">
        <v>18.763826086624999</v>
      </c>
      <c r="AJ565" s="69" t="s">
        <v>38</v>
      </c>
      <c r="AK565" s="289" t="s">
        <v>26</v>
      </c>
      <c r="AL565" s="9">
        <v>18.682274887497464</v>
      </c>
      <c r="AM565" s="54" t="s">
        <v>171</v>
      </c>
      <c r="AN565" s="69" t="s">
        <v>97</v>
      </c>
      <c r="AO565" s="9">
        <v>18.59795627740845</v>
      </c>
      <c r="AP565" s="60"/>
      <c r="AQ565" s="54" t="s">
        <v>171</v>
      </c>
      <c r="AR565" s="9">
        <v>9.0629568220240007</v>
      </c>
      <c r="AS565" s="69" t="s">
        <v>38</v>
      </c>
      <c r="AT565" s="9">
        <v>5.0314784110120003</v>
      </c>
      <c r="AU565" s="63" t="s">
        <v>171</v>
      </c>
      <c r="AV565" s="9">
        <v>3.5</v>
      </c>
      <c r="AW565" s="69" t="s">
        <v>97</v>
      </c>
      <c r="AX565" s="9">
        <v>121.94435233036</v>
      </c>
      <c r="AY565" s="289" t="s">
        <v>97</v>
      </c>
      <c r="AZ565" s="9">
        <v>2.2171700423701819</v>
      </c>
      <c r="BA565" s="63" t="s">
        <v>171</v>
      </c>
      <c r="BB565" s="289" t="s">
        <v>97</v>
      </c>
      <c r="BC565" s="9">
        <v>11.556180269434529</v>
      </c>
      <c r="BD565" s="63" t="s">
        <v>171</v>
      </c>
      <c r="BE565" s="63" t="s">
        <v>124</v>
      </c>
      <c r="BF565" s="9">
        <v>11.333555867508785</v>
      </c>
      <c r="BG565" s="289" t="s">
        <v>38</v>
      </c>
      <c r="BH565" s="69" t="s">
        <v>97</v>
      </c>
      <c r="BI565" s="9">
        <v>11.07869602753</v>
      </c>
      <c r="BJ565" s="69" t="s">
        <v>38</v>
      </c>
      <c r="BK565" s="63" t="s">
        <v>124</v>
      </c>
      <c r="BL565" s="9">
        <v>10.888531951538868</v>
      </c>
      <c r="BM565" s="54" t="s">
        <v>171</v>
      </c>
      <c r="BN565" s="289" t="s">
        <v>26</v>
      </c>
      <c r="BO565" s="9">
        <v>9.7079054795727284</v>
      </c>
    </row>
    <row r="566" spans="1:67" x14ac:dyDescent="0.45">
      <c r="A566" s="10">
        <v>550</v>
      </c>
      <c r="B566" s="10" t="s">
        <v>3160</v>
      </c>
      <c r="C566" s="288" t="s">
        <v>1993</v>
      </c>
      <c r="D566" s="65"/>
      <c r="E566" s="290" t="s">
        <v>2201</v>
      </c>
      <c r="F566" s="59" t="s">
        <v>2202</v>
      </c>
      <c r="G566" s="242"/>
      <c r="H566" s="10"/>
      <c r="I566" s="62">
        <v>161.22120204000001</v>
      </c>
      <c r="J566" s="62">
        <v>113.80320144000001</v>
      </c>
      <c r="K566" s="62">
        <v>147.78610187000001</v>
      </c>
      <c r="L566" s="49">
        <v>2090.8178136733372</v>
      </c>
      <c r="M566" s="49">
        <v>1944.4949469467781</v>
      </c>
      <c r="N566" s="49">
        <v>1834.8447379775473</v>
      </c>
      <c r="O566" s="61">
        <v>15.100092637011493</v>
      </c>
      <c r="P566" s="60"/>
      <c r="Q566" s="73" t="s">
        <v>121</v>
      </c>
      <c r="R566" s="9">
        <v>5.8366360612000001</v>
      </c>
      <c r="S566" s="73" t="s">
        <v>121</v>
      </c>
      <c r="T566" s="9">
        <v>11.6732721224</v>
      </c>
      <c r="U566" s="15" t="s">
        <v>2390</v>
      </c>
      <c r="V566" s="9">
        <v>10</v>
      </c>
      <c r="W566" s="288" t="s">
        <v>3465</v>
      </c>
      <c r="X566" s="9">
        <v>49.366360612000001</v>
      </c>
      <c r="Y566" s="288" t="s">
        <v>306</v>
      </c>
      <c r="Z566" s="9">
        <v>25.982295058947372</v>
      </c>
      <c r="AA566" s="73" t="s">
        <v>121</v>
      </c>
      <c r="AB566" s="73" t="s">
        <v>306</v>
      </c>
      <c r="AC566" s="9">
        <v>16.868267710828029</v>
      </c>
      <c r="AD566" s="288" t="s">
        <v>121</v>
      </c>
      <c r="AE566" s="288" t="s">
        <v>178</v>
      </c>
      <c r="AF566" s="9">
        <v>15.953723075903616</v>
      </c>
      <c r="AG566" s="15" t="s">
        <v>127</v>
      </c>
      <c r="AH566" s="73" t="s">
        <v>306</v>
      </c>
      <c r="AI566" s="9">
        <v>15.841381073630576</v>
      </c>
      <c r="AJ566" s="15" t="s">
        <v>127</v>
      </c>
      <c r="AK566" s="288" t="s">
        <v>178</v>
      </c>
      <c r="AL566" s="9">
        <v>14.982511015421689</v>
      </c>
      <c r="AM566" s="73" t="s">
        <v>121</v>
      </c>
      <c r="AN566" s="73" t="s">
        <v>1519</v>
      </c>
      <c r="AO566" s="9">
        <v>14.063027802044942</v>
      </c>
      <c r="AP566" s="60"/>
      <c r="AQ566" s="73" t="s">
        <v>121</v>
      </c>
      <c r="AR566" s="9">
        <v>4.7725761277360004</v>
      </c>
      <c r="AS566" s="73" t="s">
        <v>121</v>
      </c>
      <c r="AT566" s="9">
        <v>4.7725761277360004</v>
      </c>
      <c r="AU566" s="288" t="s">
        <v>121</v>
      </c>
      <c r="AV566" s="9">
        <v>3</v>
      </c>
      <c r="AW566" s="73" t="s">
        <v>306</v>
      </c>
      <c r="AX566" s="9">
        <v>63.876268795600005</v>
      </c>
      <c r="AY566" s="288" t="s">
        <v>306</v>
      </c>
      <c r="AZ566" s="9">
        <v>1.8250362513028573</v>
      </c>
      <c r="BA566" s="288" t="s">
        <v>121</v>
      </c>
      <c r="BB566" s="288" t="s">
        <v>306</v>
      </c>
      <c r="BC566" s="9">
        <v>9.4386571278305276</v>
      </c>
      <c r="BD566" s="288" t="s">
        <v>121</v>
      </c>
      <c r="BE566" s="288" t="s">
        <v>1519</v>
      </c>
      <c r="BF566" s="9">
        <v>8.0735802395050005</v>
      </c>
      <c r="BG566" s="288" t="s">
        <v>121</v>
      </c>
      <c r="BH566" s="73" t="s">
        <v>178</v>
      </c>
      <c r="BI566" s="9">
        <v>7.9494823405663171</v>
      </c>
      <c r="BJ566" s="15" t="s">
        <v>127</v>
      </c>
      <c r="BK566" s="288" t="s">
        <v>306</v>
      </c>
      <c r="BL566" s="9">
        <v>7.3725948103648662</v>
      </c>
      <c r="BM566" s="15" t="s">
        <v>127</v>
      </c>
      <c r="BN566" s="288" t="s">
        <v>1519</v>
      </c>
      <c r="BO566" s="9">
        <v>6.4180614600463839</v>
      </c>
    </row>
    <row r="567" spans="1:67" x14ac:dyDescent="0.45">
      <c r="A567" s="10">
        <v>550</v>
      </c>
      <c r="B567" s="10" t="s">
        <v>3161</v>
      </c>
      <c r="C567" s="288" t="s">
        <v>1993</v>
      </c>
      <c r="D567" s="65"/>
      <c r="E567" s="290" t="s">
        <v>2201</v>
      </c>
      <c r="F567" s="59" t="s">
        <v>2202</v>
      </c>
      <c r="G567" s="242"/>
      <c r="H567" s="10"/>
      <c r="I567" s="62">
        <v>161.22120204000001</v>
      </c>
      <c r="J567" s="62">
        <v>113.80320144000001</v>
      </c>
      <c r="K567" s="62">
        <v>147.78610187000001</v>
      </c>
      <c r="L567" s="49">
        <v>2090.8178136733372</v>
      </c>
      <c r="M567" s="49">
        <v>1944.4949469467781</v>
      </c>
      <c r="N567" s="49">
        <v>1834.8447379775473</v>
      </c>
      <c r="O567" s="61">
        <v>15.100092637011493</v>
      </c>
      <c r="P567" s="60"/>
      <c r="Q567" s="73" t="s">
        <v>121</v>
      </c>
      <c r="R567" s="9">
        <v>5.8366360612000001</v>
      </c>
      <c r="S567" s="73" t="s">
        <v>121</v>
      </c>
      <c r="T567" s="9">
        <v>11.6732721224</v>
      </c>
      <c r="U567" s="15" t="s">
        <v>2390</v>
      </c>
      <c r="V567" s="9">
        <v>10</v>
      </c>
      <c r="W567" s="288" t="s">
        <v>3465</v>
      </c>
      <c r="X567" s="9">
        <v>49.366360612000001</v>
      </c>
      <c r="Y567" s="288" t="s">
        <v>306</v>
      </c>
      <c r="Z567" s="9">
        <v>25.982295058947372</v>
      </c>
      <c r="AA567" s="73" t="s">
        <v>121</v>
      </c>
      <c r="AB567" s="73" t="s">
        <v>306</v>
      </c>
      <c r="AC567" s="9">
        <v>16.868267710828029</v>
      </c>
      <c r="AD567" s="288" t="s">
        <v>121</v>
      </c>
      <c r="AE567" s="288" t="s">
        <v>178</v>
      </c>
      <c r="AF567" s="9">
        <v>15.953723075903616</v>
      </c>
      <c r="AG567" s="15" t="s">
        <v>127</v>
      </c>
      <c r="AH567" s="73" t="s">
        <v>306</v>
      </c>
      <c r="AI567" s="9">
        <v>15.841381073630576</v>
      </c>
      <c r="AJ567" s="15" t="s">
        <v>127</v>
      </c>
      <c r="AK567" s="288" t="s">
        <v>178</v>
      </c>
      <c r="AL567" s="9">
        <v>14.982511015421689</v>
      </c>
      <c r="AM567" s="73" t="s">
        <v>121</v>
      </c>
      <c r="AN567" s="73" t="s">
        <v>1519</v>
      </c>
      <c r="AO567" s="9">
        <v>14.063027802044942</v>
      </c>
      <c r="AP567" s="60"/>
      <c r="AQ567" s="73" t="s">
        <v>121</v>
      </c>
      <c r="AR567" s="9">
        <v>4.7725761277360004</v>
      </c>
      <c r="AS567" s="73" t="s">
        <v>121</v>
      </c>
      <c r="AT567" s="9">
        <v>4.7725761277360004</v>
      </c>
      <c r="AU567" s="288" t="s">
        <v>121</v>
      </c>
      <c r="AV567" s="9">
        <v>3</v>
      </c>
      <c r="AW567" s="73" t="s">
        <v>306</v>
      </c>
      <c r="AX567" s="9">
        <v>63.876268795600005</v>
      </c>
      <c r="AY567" s="288" t="s">
        <v>306</v>
      </c>
      <c r="AZ567" s="9">
        <v>1.8250362513028573</v>
      </c>
      <c r="BA567" s="288" t="s">
        <v>121</v>
      </c>
      <c r="BB567" s="288" t="s">
        <v>306</v>
      </c>
      <c r="BC567" s="9">
        <v>9.4386571278305276</v>
      </c>
      <c r="BD567" s="288" t="s">
        <v>121</v>
      </c>
      <c r="BE567" s="288" t="s">
        <v>1519</v>
      </c>
      <c r="BF567" s="9">
        <v>8.0735802395050005</v>
      </c>
      <c r="BG567" s="288" t="s">
        <v>121</v>
      </c>
      <c r="BH567" s="73" t="s">
        <v>178</v>
      </c>
      <c r="BI567" s="9">
        <v>7.9494823405663171</v>
      </c>
      <c r="BJ567" s="15" t="s">
        <v>127</v>
      </c>
      <c r="BK567" s="288" t="s">
        <v>306</v>
      </c>
      <c r="BL567" s="9">
        <v>7.3725948103648662</v>
      </c>
      <c r="BM567" s="15" t="s">
        <v>127</v>
      </c>
      <c r="BN567" s="288" t="s">
        <v>1519</v>
      </c>
      <c r="BO567" s="9">
        <v>6.4180614600463839</v>
      </c>
    </row>
    <row r="568" spans="1:67" x14ac:dyDescent="0.45">
      <c r="A568" s="10">
        <v>556</v>
      </c>
      <c r="B568" s="10" t="s">
        <v>3162</v>
      </c>
      <c r="C568" s="79" t="s">
        <v>1983</v>
      </c>
      <c r="D568" s="65"/>
      <c r="E568" s="63" t="s">
        <v>2265</v>
      </c>
      <c r="F568" s="80" t="s">
        <v>2266</v>
      </c>
      <c r="G568" s="242"/>
      <c r="H568" s="10"/>
      <c r="I568" s="62">
        <v>170.70480216000001</v>
      </c>
      <c r="J568" s="62">
        <v>114.59350145000001</v>
      </c>
      <c r="K568" s="62">
        <v>154.89880196000001</v>
      </c>
      <c r="L568" s="49">
        <v>2274.3105335579394</v>
      </c>
      <c r="M568" s="49">
        <v>2093.9639058168541</v>
      </c>
      <c r="N568" s="49">
        <v>1960.0390963930349</v>
      </c>
      <c r="O568" s="61">
        <v>15.925443728062861</v>
      </c>
      <c r="P568" s="60"/>
      <c r="Q568" s="54" t="s">
        <v>171</v>
      </c>
      <c r="R568" s="9">
        <v>9.535240108</v>
      </c>
      <c r="S568" s="54" t="s">
        <v>171</v>
      </c>
      <c r="T568" s="9">
        <v>11.919050134999999</v>
      </c>
      <c r="U568" s="72" t="s">
        <v>225</v>
      </c>
      <c r="V568" s="9">
        <v>12.727</v>
      </c>
      <c r="W568" s="79" t="s">
        <v>9</v>
      </c>
      <c r="X568" s="9">
        <v>185.3611863328</v>
      </c>
      <c r="Y568" s="79" t="s">
        <v>103</v>
      </c>
      <c r="Z568" s="9">
        <v>43.717372855999997</v>
      </c>
      <c r="AA568" s="54" t="s">
        <v>171</v>
      </c>
      <c r="AB568" s="72" t="s">
        <v>9</v>
      </c>
      <c r="AC568" s="9">
        <v>19.431348399573963</v>
      </c>
      <c r="AD568" s="79" t="s">
        <v>225</v>
      </c>
      <c r="AE568" s="79" t="s">
        <v>9</v>
      </c>
      <c r="AF568" s="9">
        <v>18.898673749068614</v>
      </c>
      <c r="AG568" s="54" t="s">
        <v>171</v>
      </c>
      <c r="AH568" s="72" t="s">
        <v>103</v>
      </c>
      <c r="AI568" s="9">
        <v>17.581765140109585</v>
      </c>
      <c r="AJ568" s="72" t="s">
        <v>225</v>
      </c>
      <c r="AK568" s="79" t="s">
        <v>103</v>
      </c>
      <c r="AL568" s="9">
        <v>16.422439776757894</v>
      </c>
      <c r="AM568" s="54" t="s">
        <v>171</v>
      </c>
      <c r="AN568" s="16" t="s">
        <v>203</v>
      </c>
      <c r="AO568" s="9">
        <v>15.033314749033742</v>
      </c>
      <c r="AP568" s="60"/>
      <c r="AQ568" s="72" t="s">
        <v>3479</v>
      </c>
      <c r="AR568" s="9">
        <v>7.657487284240001</v>
      </c>
      <c r="AS568" s="54" t="s">
        <v>171</v>
      </c>
      <c r="AT568" s="9">
        <v>3.8287436421200005</v>
      </c>
      <c r="AU568" s="79" t="s">
        <v>225</v>
      </c>
      <c r="AV568" s="9">
        <v>3.6666666666666998</v>
      </c>
      <c r="AW568" s="72" t="s">
        <v>9</v>
      </c>
      <c r="AX568" s="9">
        <v>200.72461852720002</v>
      </c>
      <c r="AY568" s="79" t="s">
        <v>9</v>
      </c>
      <c r="AZ568" s="9">
        <v>2.5090577315900005</v>
      </c>
      <c r="BA568" s="63" t="s">
        <v>171</v>
      </c>
      <c r="BB568" s="79" t="s">
        <v>9</v>
      </c>
      <c r="BC568" s="9">
        <v>12.08186414628503</v>
      </c>
      <c r="BD568" s="79" t="s">
        <v>225</v>
      </c>
      <c r="BE568" s="79" t="s">
        <v>9</v>
      </c>
      <c r="BF568" s="9">
        <v>11.237329826846219</v>
      </c>
      <c r="BG568" s="63" t="s">
        <v>171</v>
      </c>
      <c r="BH568" s="72" t="s">
        <v>103</v>
      </c>
      <c r="BI568" s="9">
        <v>11.167808140500439</v>
      </c>
      <c r="BJ568" s="72" t="s">
        <v>225</v>
      </c>
      <c r="BK568" s="79" t="s">
        <v>103</v>
      </c>
      <c r="BL568" s="9">
        <v>10.290527166318835</v>
      </c>
      <c r="BM568" s="54" t="s">
        <v>171</v>
      </c>
      <c r="BN568" s="287" t="s">
        <v>203</v>
      </c>
      <c r="BO568" s="9">
        <v>8.0286154143938155</v>
      </c>
    </row>
    <row r="569" spans="1:67" x14ac:dyDescent="0.45">
      <c r="A569" s="10">
        <v>557</v>
      </c>
      <c r="B569" s="10" t="s">
        <v>3163</v>
      </c>
      <c r="C569" s="289" t="s">
        <v>2151</v>
      </c>
      <c r="D569" s="65"/>
      <c r="E569" s="56" t="s">
        <v>2299</v>
      </c>
      <c r="F569" s="64" t="s">
        <v>2300</v>
      </c>
      <c r="G569" s="242"/>
      <c r="H569" s="10"/>
      <c r="I569" s="62">
        <v>105.10990133000001</v>
      </c>
      <c r="J569" s="62">
        <v>113.01290143000001</v>
      </c>
      <c r="K569" s="62">
        <v>120.12560152</v>
      </c>
      <c r="L569" s="49">
        <v>1224.6879043322128</v>
      </c>
      <c r="M569" s="49">
        <v>1267.4713533749778</v>
      </c>
      <c r="N569" s="49">
        <v>1302.7717471888125</v>
      </c>
      <c r="O569" s="61">
        <v>12.19729146567582</v>
      </c>
      <c r="P569" s="60"/>
      <c r="Q569" s="52" t="s">
        <v>249</v>
      </c>
      <c r="R569" s="9">
        <v>11.090550527680001</v>
      </c>
      <c r="S569" s="52" t="s">
        <v>249</v>
      </c>
      <c r="T569" s="9">
        <v>9.2421254397333357</v>
      </c>
      <c r="U569" s="15" t="s">
        <v>133</v>
      </c>
      <c r="V569" s="9">
        <v>10</v>
      </c>
      <c r="W569" s="56" t="s">
        <v>1488</v>
      </c>
      <c r="X569" s="9">
        <v>45.146158558600007</v>
      </c>
      <c r="Y569" s="289" t="s">
        <v>26</v>
      </c>
      <c r="Z569" s="9">
        <v>18.362295849437501</v>
      </c>
      <c r="AA569" s="52" t="s">
        <v>249</v>
      </c>
      <c r="AB569" s="69" t="s">
        <v>26</v>
      </c>
      <c r="AC569" s="9">
        <v>11.453075842085861</v>
      </c>
      <c r="AD569" s="56" t="s">
        <v>249</v>
      </c>
      <c r="AE569" s="56" t="s">
        <v>286</v>
      </c>
      <c r="AF569" s="9">
        <v>11.090647548967137</v>
      </c>
      <c r="AG569" s="15" t="s">
        <v>133</v>
      </c>
      <c r="AH569" s="69" t="s">
        <v>26</v>
      </c>
      <c r="AI569" s="9">
        <v>10.857700725831082</v>
      </c>
      <c r="AJ569" s="52" t="s">
        <v>249</v>
      </c>
      <c r="AK569" s="56" t="s">
        <v>1488</v>
      </c>
      <c r="AL569" s="9">
        <v>10.697392463233648</v>
      </c>
      <c r="AM569" s="15" t="s">
        <v>133</v>
      </c>
      <c r="AN569" s="52" t="s">
        <v>286</v>
      </c>
      <c r="AO569" s="9">
        <v>10.438887230797546</v>
      </c>
      <c r="AP569" s="60"/>
      <c r="AQ569" s="52" t="s">
        <v>249</v>
      </c>
      <c r="AR569" s="9">
        <v>10.838286764488002</v>
      </c>
      <c r="AS569" s="52" t="s">
        <v>249</v>
      </c>
      <c r="AT569" s="9">
        <v>3.6127622548293341</v>
      </c>
      <c r="AU569" s="56" t="s">
        <v>249</v>
      </c>
      <c r="AV569" s="9">
        <v>2.6666666666666998</v>
      </c>
      <c r="AW569" s="52" t="s">
        <v>1488</v>
      </c>
      <c r="AX569" s="9">
        <v>58.390006126180012</v>
      </c>
      <c r="AY569" s="289" t="s">
        <v>26</v>
      </c>
      <c r="AZ569" s="9">
        <v>1.0826735819094289</v>
      </c>
      <c r="BA569" s="56" t="s">
        <v>249</v>
      </c>
      <c r="BB569" s="289" t="s">
        <v>26</v>
      </c>
      <c r="BC569" s="9">
        <v>6.0397224751479657</v>
      </c>
      <c r="BD569" s="56" t="s">
        <v>249</v>
      </c>
      <c r="BE569" s="56" t="s">
        <v>286</v>
      </c>
      <c r="BF569" s="9">
        <v>6.0115184588212509</v>
      </c>
      <c r="BG569" s="56" t="s">
        <v>249</v>
      </c>
      <c r="BH569" s="52" t="s">
        <v>1488</v>
      </c>
      <c r="BI569" s="9">
        <v>5.9437088025463849</v>
      </c>
      <c r="BJ569" s="15" t="s">
        <v>133</v>
      </c>
      <c r="BK569" s="289" t="s">
        <v>26</v>
      </c>
      <c r="BL569" s="9">
        <v>4.9330988754428384</v>
      </c>
      <c r="BM569" s="15" t="s">
        <v>133</v>
      </c>
      <c r="BN569" s="56" t="s">
        <v>286</v>
      </c>
      <c r="BO569" s="9">
        <v>4.9040820494000004</v>
      </c>
    </row>
    <row r="570" spans="1:67" x14ac:dyDescent="0.45">
      <c r="A570" s="10">
        <v>558</v>
      </c>
      <c r="B570" s="10" t="s">
        <v>3164</v>
      </c>
      <c r="C570" s="289" t="s">
        <v>2151</v>
      </c>
      <c r="D570" s="65"/>
      <c r="E570" s="56" t="s">
        <v>2299</v>
      </c>
      <c r="F570" s="64" t="s">
        <v>2300</v>
      </c>
      <c r="G570" s="242"/>
      <c r="H570" s="10"/>
      <c r="I570" s="62">
        <v>160.43090203</v>
      </c>
      <c r="J570" s="62">
        <v>169.91450215</v>
      </c>
      <c r="K570" s="62">
        <v>147.78610187000001</v>
      </c>
      <c r="L570" s="49">
        <v>2542.2604782406734</v>
      </c>
      <c r="M570" s="49">
        <v>2531.8309883676056</v>
      </c>
      <c r="N570" s="49">
        <v>2523.5182111370937</v>
      </c>
      <c r="O570" s="61">
        <v>21.463963287729754</v>
      </c>
      <c r="P570" s="60"/>
      <c r="Q570" s="52" t="s">
        <v>249</v>
      </c>
      <c r="R570" s="9">
        <v>16.401366594879999</v>
      </c>
      <c r="S570" s="52" t="s">
        <v>249</v>
      </c>
      <c r="T570" s="9">
        <v>13.667805495733333</v>
      </c>
      <c r="U570" s="69" t="s">
        <v>27</v>
      </c>
      <c r="V570" s="9">
        <v>15</v>
      </c>
      <c r="W570" s="56" t="s">
        <v>40</v>
      </c>
      <c r="X570" s="9">
        <v>78.006832974399998</v>
      </c>
      <c r="Y570" s="56" t="s">
        <v>40</v>
      </c>
      <c r="Z570" s="9">
        <v>28.891419620148145</v>
      </c>
      <c r="AA570" s="69" t="s">
        <v>27</v>
      </c>
      <c r="AB570" s="52" t="s">
        <v>40</v>
      </c>
      <c r="AC570" s="9">
        <v>18.299138388767954</v>
      </c>
      <c r="AD570" s="56" t="s">
        <v>249</v>
      </c>
      <c r="AE570" s="56" t="s">
        <v>40</v>
      </c>
      <c r="AF570" s="9">
        <v>17.697585705137257</v>
      </c>
      <c r="AG570" s="69" t="s">
        <v>27</v>
      </c>
      <c r="AH570" s="69" t="s">
        <v>26</v>
      </c>
      <c r="AI570" s="9">
        <v>17.245200690694766</v>
      </c>
      <c r="AJ570" s="52" t="s">
        <v>249</v>
      </c>
      <c r="AK570" s="289" t="s">
        <v>26</v>
      </c>
      <c r="AL570" s="9">
        <v>17.068995610116161</v>
      </c>
      <c r="AM570" s="52" t="s">
        <v>249</v>
      </c>
      <c r="AN570" s="52" t="s">
        <v>286</v>
      </c>
      <c r="AO570" s="9">
        <v>16.544830716572768</v>
      </c>
      <c r="AP570" s="60"/>
      <c r="AQ570" s="52" t="s">
        <v>249</v>
      </c>
      <c r="AR570" s="9">
        <v>16.016332430007999</v>
      </c>
      <c r="AS570" s="52" t="s">
        <v>249</v>
      </c>
      <c r="AT570" s="9">
        <v>5.3387774766693328</v>
      </c>
      <c r="AU570" s="289" t="s">
        <v>27</v>
      </c>
      <c r="AV570" s="9">
        <v>4</v>
      </c>
      <c r="AW570" s="52" t="s">
        <v>40</v>
      </c>
      <c r="AX570" s="9">
        <v>101.10888286672001</v>
      </c>
      <c r="AY570" s="56" t="s">
        <v>40</v>
      </c>
      <c r="AZ570" s="9">
        <v>2.2468640637048889</v>
      </c>
      <c r="BA570" s="289" t="s">
        <v>27</v>
      </c>
      <c r="BB570" s="56" t="s">
        <v>40</v>
      </c>
      <c r="BC570" s="9">
        <v>11.470571932488571</v>
      </c>
      <c r="BD570" s="56" t="s">
        <v>249</v>
      </c>
      <c r="BE570" s="56" t="s">
        <v>40</v>
      </c>
      <c r="BF570" s="9">
        <v>10.696545610378461</v>
      </c>
      <c r="BG570" s="289" t="s">
        <v>27</v>
      </c>
      <c r="BH570" s="69" t="s">
        <v>26</v>
      </c>
      <c r="BI570" s="9">
        <v>9.0215451014999992</v>
      </c>
      <c r="BJ570" s="52" t="s">
        <v>249</v>
      </c>
      <c r="BK570" s="289" t="s">
        <v>26</v>
      </c>
      <c r="BL570" s="9">
        <v>9.0182443181461949</v>
      </c>
      <c r="BM570" s="52" t="s">
        <v>249</v>
      </c>
      <c r="BN570" s="56" t="s">
        <v>286</v>
      </c>
      <c r="BO570" s="9">
        <v>8.9781071213587502</v>
      </c>
    </row>
    <row r="571" spans="1:67" x14ac:dyDescent="0.45">
      <c r="A571" s="10">
        <v>561</v>
      </c>
      <c r="B571" s="10" t="s">
        <v>3165</v>
      </c>
      <c r="C571" s="287" t="s">
        <v>2143</v>
      </c>
      <c r="D571" s="65"/>
      <c r="E571" s="56" t="s">
        <v>2285</v>
      </c>
      <c r="F571" s="79" t="s">
        <v>2129</v>
      </c>
      <c r="G571" s="58" t="s">
        <v>2286</v>
      </c>
      <c r="H571" s="10"/>
      <c r="I571" s="62">
        <v>173.07570219000002</v>
      </c>
      <c r="J571" s="62">
        <v>143.83460182000002</v>
      </c>
      <c r="K571" s="62">
        <v>150.94730191000002</v>
      </c>
      <c r="L571" s="49">
        <v>2550.2365591620396</v>
      </c>
      <c r="M571" s="49">
        <v>2417.0365711629079</v>
      </c>
      <c r="N571" s="49">
        <v>2315.503410444388</v>
      </c>
      <c r="O571" s="61">
        <v>18.981280188134065</v>
      </c>
      <c r="P571" s="60"/>
      <c r="Q571" s="16" t="s">
        <v>158</v>
      </c>
      <c r="R571" s="9">
        <v>15.53835898396</v>
      </c>
      <c r="S571" s="16" t="s">
        <v>158</v>
      </c>
      <c r="T571" s="9">
        <v>12.948632486633334</v>
      </c>
      <c r="U571" s="57" t="s">
        <v>95</v>
      </c>
      <c r="V571" s="9">
        <v>9.0909999999999993</v>
      </c>
      <c r="W571" s="242" t="s">
        <v>1516</v>
      </c>
      <c r="X571" s="9">
        <v>73.691794919800003</v>
      </c>
      <c r="Y571" s="287" t="s">
        <v>210</v>
      </c>
      <c r="Z571" s="9">
        <v>23.44713066237037</v>
      </c>
      <c r="AA571" s="16" t="s">
        <v>158</v>
      </c>
      <c r="AB571" s="57" t="s">
        <v>1516</v>
      </c>
      <c r="AC571" s="9">
        <v>16.454738026043479</v>
      </c>
      <c r="AD571" s="287" t="s">
        <v>158</v>
      </c>
      <c r="AE571" s="287" t="s">
        <v>210</v>
      </c>
      <c r="AF571" s="9">
        <v>16.206787092896555</v>
      </c>
      <c r="AG571" s="57" t="s">
        <v>95</v>
      </c>
      <c r="AH571" s="57" t="s">
        <v>1516</v>
      </c>
      <c r="AI571" s="9">
        <v>16.206787092896551</v>
      </c>
      <c r="AJ571" s="16" t="s">
        <v>158</v>
      </c>
      <c r="AK571" s="289" t="s">
        <v>1534</v>
      </c>
      <c r="AL571" s="9">
        <v>16.134290251803371</v>
      </c>
      <c r="AM571" s="57" t="s">
        <v>95</v>
      </c>
      <c r="AN571" s="16" t="s">
        <v>210</v>
      </c>
      <c r="AO571" s="9">
        <v>15.928598241073169</v>
      </c>
      <c r="AP571" s="60"/>
      <c r="AQ571" s="16" t="s">
        <v>158</v>
      </c>
      <c r="AR571" s="9">
        <v>13.149914293738002</v>
      </c>
      <c r="AS571" s="16" t="s">
        <v>158</v>
      </c>
      <c r="AT571" s="9">
        <v>4.3833047645793339</v>
      </c>
      <c r="AU571" s="287" t="s">
        <v>158</v>
      </c>
      <c r="AV571" s="9">
        <v>3</v>
      </c>
      <c r="AW571" s="57" t="s">
        <v>1516</v>
      </c>
      <c r="AX571" s="9">
        <v>95.49933339574001</v>
      </c>
      <c r="AY571" s="56" t="s">
        <v>282</v>
      </c>
      <c r="AZ571" s="9">
        <v>1.772209877698889</v>
      </c>
      <c r="BA571" s="287" t="s">
        <v>158</v>
      </c>
      <c r="BB571" s="56" t="s">
        <v>282</v>
      </c>
      <c r="BC571" s="9">
        <v>9.0936884978212511</v>
      </c>
      <c r="BD571" s="287" t="s">
        <v>158</v>
      </c>
      <c r="BE571" s="242" t="s">
        <v>1516</v>
      </c>
      <c r="BF571" s="9">
        <v>8.7221632708250798</v>
      </c>
      <c r="BG571" s="287" t="s">
        <v>158</v>
      </c>
      <c r="BH571" s="69" t="s">
        <v>1534</v>
      </c>
      <c r="BI571" s="9">
        <v>8.5724995949092833</v>
      </c>
      <c r="BJ571" s="16" t="s">
        <v>158</v>
      </c>
      <c r="BK571" s="287" t="s">
        <v>210</v>
      </c>
      <c r="BL571" s="9">
        <v>8.3979318608038529</v>
      </c>
      <c r="BM571" s="57" t="s">
        <v>95</v>
      </c>
      <c r="BN571" s="56" t="s">
        <v>282</v>
      </c>
      <c r="BO571" s="9">
        <v>7.1595265158029795</v>
      </c>
    </row>
    <row r="572" spans="1:67" x14ac:dyDescent="0.45">
      <c r="A572" s="10">
        <v>562</v>
      </c>
      <c r="B572" s="10" t="s">
        <v>389</v>
      </c>
      <c r="C572" s="77" t="s">
        <v>1888</v>
      </c>
      <c r="D572" s="65"/>
      <c r="E572" s="77" t="s">
        <v>2167</v>
      </c>
      <c r="F572" s="63" t="s">
        <v>2109</v>
      </c>
      <c r="G572" s="64" t="s">
        <v>2295</v>
      </c>
      <c r="H572" s="10"/>
      <c r="I572" s="62">
        <v>86.933001100000013</v>
      </c>
      <c r="J572" s="62">
        <v>123.28680156000001</v>
      </c>
      <c r="K572" s="62">
        <v>103.52930131000001</v>
      </c>
      <c r="L572" s="49">
        <v>982.14273173175411</v>
      </c>
      <c r="M572" s="49">
        <v>1071.7899842955571</v>
      </c>
      <c r="N572" s="49">
        <v>1149.3644603822329</v>
      </c>
      <c r="O572" s="61">
        <v>11.362900737839432</v>
      </c>
      <c r="P572" s="60"/>
      <c r="Q572" s="57" t="s">
        <v>95</v>
      </c>
      <c r="R572" s="9">
        <v>6.2159800660000011</v>
      </c>
      <c r="S572" s="57" t="s">
        <v>95</v>
      </c>
      <c r="T572" s="9">
        <v>5.6508909690909093</v>
      </c>
      <c r="U572" s="68" t="s">
        <v>277</v>
      </c>
      <c r="V572" s="9">
        <v>12.727</v>
      </c>
      <c r="W572" s="77" t="s">
        <v>73</v>
      </c>
      <c r="X572" s="9">
        <v>53.159800660000009</v>
      </c>
      <c r="Y572" s="77" t="s">
        <v>73</v>
      </c>
      <c r="Z572" s="9">
        <v>17.719933553333338</v>
      </c>
      <c r="AA572" s="68" t="s">
        <v>277</v>
      </c>
      <c r="AB572" s="68" t="s">
        <v>73</v>
      </c>
      <c r="AC572" s="9">
        <v>10.338932081237116</v>
      </c>
      <c r="AD572" s="242" t="s">
        <v>95</v>
      </c>
      <c r="AE572" s="77" t="s">
        <v>73</v>
      </c>
      <c r="AF572" s="9">
        <v>9.9105530576470606</v>
      </c>
      <c r="AG572" s="57" t="s">
        <v>95</v>
      </c>
      <c r="AH572" s="68" t="s">
        <v>1486</v>
      </c>
      <c r="AI572" s="9">
        <v>8.0111453435754196</v>
      </c>
      <c r="AJ572" s="68" t="s">
        <v>277</v>
      </c>
      <c r="AK572" s="77" t="s">
        <v>1486</v>
      </c>
      <c r="AL572" s="9">
        <v>8.0088781178121984</v>
      </c>
      <c r="AM572" s="57" t="s">
        <v>95</v>
      </c>
      <c r="AN572" s="67" t="s">
        <v>160</v>
      </c>
      <c r="AO572" s="9">
        <v>7.8650706788235309</v>
      </c>
      <c r="AP572" s="60"/>
      <c r="AQ572" s="57" t="s">
        <v>95</v>
      </c>
      <c r="AR572" s="9">
        <v>5.5205160572000009</v>
      </c>
      <c r="AS572" s="57" t="s">
        <v>95</v>
      </c>
      <c r="AT572" s="9">
        <v>1.8401720190666671</v>
      </c>
      <c r="AU572" s="77" t="s">
        <v>277</v>
      </c>
      <c r="AV572" s="9">
        <v>3</v>
      </c>
      <c r="AW572" s="68" t="s">
        <v>73</v>
      </c>
      <c r="AX572" s="9">
        <v>68.807740858000017</v>
      </c>
      <c r="AY572" s="77" t="s">
        <v>73</v>
      </c>
      <c r="AZ572" s="9">
        <v>1.2510498337818186</v>
      </c>
      <c r="BA572" s="77" t="s">
        <v>277</v>
      </c>
      <c r="BB572" s="77" t="s">
        <v>73</v>
      </c>
      <c r="BC572" s="9">
        <v>4.9467870981695414</v>
      </c>
      <c r="BD572" s="242" t="s">
        <v>95</v>
      </c>
      <c r="BE572" s="77" t="s">
        <v>73</v>
      </c>
      <c r="BF572" s="9">
        <v>4.1899112765730999</v>
      </c>
      <c r="BG572" s="77" t="s">
        <v>277</v>
      </c>
      <c r="BH572" s="67" t="s">
        <v>160</v>
      </c>
      <c r="BI572" s="9">
        <v>3.9960113037295613</v>
      </c>
      <c r="BJ572" s="68" t="s">
        <v>277</v>
      </c>
      <c r="BK572" s="77" t="s">
        <v>1486</v>
      </c>
      <c r="BL572" s="9">
        <v>3.7965140742403105</v>
      </c>
      <c r="BM572" s="57" t="s">
        <v>95</v>
      </c>
      <c r="BN572" s="76" t="s">
        <v>160</v>
      </c>
      <c r="BO572" s="9">
        <v>3.5465177326410262</v>
      </c>
    </row>
    <row r="573" spans="1:67" x14ac:dyDescent="0.45">
      <c r="A573" s="10">
        <v>563</v>
      </c>
      <c r="B573" s="10" t="s">
        <v>387</v>
      </c>
      <c r="C573" s="77" t="s">
        <v>1888</v>
      </c>
      <c r="D573" s="65"/>
      <c r="E573" s="77" t="s">
        <v>2167</v>
      </c>
      <c r="F573" s="63" t="s">
        <v>2109</v>
      </c>
      <c r="G573" s="64" t="s">
        <v>2295</v>
      </c>
      <c r="H573" s="10"/>
      <c r="I573" s="62">
        <v>140.67340178000001</v>
      </c>
      <c r="J573" s="62">
        <v>199.15560252</v>
      </c>
      <c r="K573" s="62">
        <v>131.18980166</v>
      </c>
      <c r="L573" s="49">
        <v>2273.8315680699643</v>
      </c>
      <c r="M573" s="49">
        <v>2381.6049755856129</v>
      </c>
      <c r="N573" s="49">
        <v>2471.4901210254052</v>
      </c>
      <c r="O573" s="61">
        <v>21.78798476125273</v>
      </c>
      <c r="P573" s="60"/>
      <c r="Q573" s="57" t="s">
        <v>95</v>
      </c>
      <c r="R573" s="9">
        <v>9.4404041068000009</v>
      </c>
      <c r="S573" s="57" t="s">
        <v>95</v>
      </c>
      <c r="T573" s="9">
        <v>8.5821855516363641</v>
      </c>
      <c r="U573" s="68" t="s">
        <v>277</v>
      </c>
      <c r="V573" s="9">
        <v>12.727</v>
      </c>
      <c r="W573" s="77" t="s">
        <v>73</v>
      </c>
      <c r="X573" s="9">
        <v>85.404041067999998</v>
      </c>
      <c r="Y573" s="77" t="s">
        <v>73</v>
      </c>
      <c r="Z573" s="9">
        <v>28.468013689333333</v>
      </c>
      <c r="AA573" s="68" t="s">
        <v>277</v>
      </c>
      <c r="AB573" s="68" t="s">
        <v>73</v>
      </c>
      <c r="AC573" s="9">
        <v>16.322399373443297</v>
      </c>
      <c r="AD573" s="242" t="s">
        <v>95</v>
      </c>
      <c r="AE573" s="77" t="s">
        <v>73</v>
      </c>
      <c r="AF573" s="9">
        <v>15.60071312964706</v>
      </c>
      <c r="AG573" s="68" t="s">
        <v>277</v>
      </c>
      <c r="AH573" s="57" t="s">
        <v>82</v>
      </c>
      <c r="AI573" s="9">
        <v>13.671534983927813</v>
      </c>
      <c r="AJ573" s="57" t="s">
        <v>95</v>
      </c>
      <c r="AK573" s="242" t="s">
        <v>82</v>
      </c>
      <c r="AL573" s="9">
        <v>13.43434353433735</v>
      </c>
      <c r="AM573" s="57" t="s">
        <v>95</v>
      </c>
      <c r="AN573" s="67" t="s">
        <v>160</v>
      </c>
      <c r="AO573" s="9">
        <v>12.290750734823531</v>
      </c>
      <c r="AP573" s="60"/>
      <c r="AQ573" s="57" t="s">
        <v>95</v>
      </c>
      <c r="AR573" s="9">
        <v>8.315016892560001</v>
      </c>
      <c r="AS573" s="57" t="s">
        <v>95</v>
      </c>
      <c r="AT573" s="9">
        <v>2.7716722975200003</v>
      </c>
      <c r="AU573" s="77" t="s">
        <v>277</v>
      </c>
      <c r="AV573" s="9">
        <v>3</v>
      </c>
      <c r="AW573" s="68" t="s">
        <v>73</v>
      </c>
      <c r="AX573" s="9">
        <v>110.72525338840001</v>
      </c>
      <c r="AY573" s="77" t="s">
        <v>73</v>
      </c>
      <c r="AZ573" s="9">
        <v>2.0131864252436364</v>
      </c>
      <c r="BA573" s="77" t="s">
        <v>277</v>
      </c>
      <c r="BB573" s="77" t="s">
        <v>73</v>
      </c>
      <c r="BC573" s="9">
        <v>7.7774237201936787</v>
      </c>
      <c r="BD573" s="242" t="s">
        <v>95</v>
      </c>
      <c r="BE573" s="77" t="s">
        <v>73</v>
      </c>
      <c r="BF573" s="9">
        <v>6.5595172480771939</v>
      </c>
      <c r="BG573" s="77" t="s">
        <v>277</v>
      </c>
      <c r="BH573" s="57" t="s">
        <v>82</v>
      </c>
      <c r="BI573" s="9">
        <v>6.3585626849988515</v>
      </c>
      <c r="BJ573" s="68" t="s">
        <v>277</v>
      </c>
      <c r="BK573" s="76" t="s">
        <v>160</v>
      </c>
      <c r="BL573" s="9">
        <v>6.2368846151031452</v>
      </c>
      <c r="BM573" s="57" t="s">
        <v>95</v>
      </c>
      <c r="BN573" s="242" t="s">
        <v>82</v>
      </c>
      <c r="BO573" s="9">
        <v>5.5970150253719302</v>
      </c>
    </row>
    <row r="574" spans="1:67" x14ac:dyDescent="0.45">
      <c r="A574" s="10">
        <v>564</v>
      </c>
      <c r="B574" s="10" t="s">
        <v>3166</v>
      </c>
      <c r="C574" s="56" t="s">
        <v>2136</v>
      </c>
      <c r="D574" s="79" t="s">
        <v>1983</v>
      </c>
      <c r="E574" s="58" t="s">
        <v>2271</v>
      </c>
      <c r="F574" s="64" t="s">
        <v>2272</v>
      </c>
      <c r="G574" s="75" t="s">
        <v>1976</v>
      </c>
      <c r="H574" s="10"/>
      <c r="I574" s="62">
        <v>117.75470149</v>
      </c>
      <c r="J574" s="62">
        <v>127.23830161000001</v>
      </c>
      <c r="K574" s="62">
        <v>125.65770159</v>
      </c>
      <c r="L574" s="49">
        <v>1488.9555862256957</v>
      </c>
      <c r="M574" s="49">
        <v>1524.7202001105161</v>
      </c>
      <c r="N574" s="49">
        <v>1553.949433638993</v>
      </c>
      <c r="O574" s="61">
        <v>14.18375556587454</v>
      </c>
      <c r="P574" s="60"/>
      <c r="Q574" s="67" t="s">
        <v>2373</v>
      </c>
      <c r="R574" s="9">
        <v>4.5326410447000001</v>
      </c>
      <c r="S574" s="67" t="s">
        <v>2373</v>
      </c>
      <c r="T574" s="9">
        <v>9.0652820894000001</v>
      </c>
      <c r="U574" s="73" t="s">
        <v>121</v>
      </c>
      <c r="V574" s="9">
        <v>10</v>
      </c>
      <c r="W574" s="56" t="s">
        <v>282</v>
      </c>
      <c r="X574" s="9">
        <v>50.456974625800001</v>
      </c>
      <c r="Y574" s="288" t="s">
        <v>218</v>
      </c>
      <c r="Z574" s="9">
        <v>27.602549165352944</v>
      </c>
      <c r="AA574" s="73" t="s">
        <v>121</v>
      </c>
      <c r="AB574" s="73" t="s">
        <v>218</v>
      </c>
      <c r="AC574" s="9">
        <v>13.768767765388059</v>
      </c>
      <c r="AD574" s="76" t="s">
        <v>66</v>
      </c>
      <c r="AE574" s="288" t="s">
        <v>218</v>
      </c>
      <c r="AF574" s="9">
        <v>13.029225992433963</v>
      </c>
      <c r="AG574" s="73" t="s">
        <v>121</v>
      </c>
      <c r="AH574" s="52" t="s">
        <v>282</v>
      </c>
      <c r="AI574" s="9">
        <v>11.806036330312194</v>
      </c>
      <c r="AJ574" s="73" t="s">
        <v>121</v>
      </c>
      <c r="AK574" s="64" t="s">
        <v>1480</v>
      </c>
      <c r="AL574" s="9">
        <v>11.590372421114651</v>
      </c>
      <c r="AM574" s="67" t="s">
        <v>66</v>
      </c>
      <c r="AN574" s="52" t="s">
        <v>282</v>
      </c>
      <c r="AO574" s="9">
        <v>11.508128260647828</v>
      </c>
      <c r="AP574" s="60"/>
      <c r="AQ574" s="67" t="s">
        <v>66</v>
      </c>
      <c r="AR574" s="9">
        <v>4.0616222387400001</v>
      </c>
      <c r="AS574" s="67" t="s">
        <v>66</v>
      </c>
      <c r="AT574" s="9">
        <v>4.0616222387400001</v>
      </c>
      <c r="AU574" s="288" t="s">
        <v>121</v>
      </c>
      <c r="AV574" s="9">
        <v>3</v>
      </c>
      <c r="AW574" s="52" t="s">
        <v>282</v>
      </c>
      <c r="AX574" s="9">
        <v>65.294067013540001</v>
      </c>
      <c r="AY574" s="288" t="s">
        <v>218</v>
      </c>
      <c r="AZ574" s="9">
        <v>1.5175408413857501</v>
      </c>
      <c r="BA574" s="288" t="s">
        <v>121</v>
      </c>
      <c r="BB574" s="288" t="s">
        <v>218</v>
      </c>
      <c r="BC574" s="9">
        <v>7.7284488735100005</v>
      </c>
      <c r="BD574" s="288" t="s">
        <v>121</v>
      </c>
      <c r="BE574" s="56" t="s">
        <v>282</v>
      </c>
      <c r="BF574" s="9">
        <v>7.6016229522831251</v>
      </c>
      <c r="BG574" s="288" t="s">
        <v>121</v>
      </c>
      <c r="BH574" s="15" t="s">
        <v>1480</v>
      </c>
      <c r="BI574" s="9">
        <v>7.1635289806213169</v>
      </c>
      <c r="BJ574" s="67" t="s">
        <v>66</v>
      </c>
      <c r="BK574" s="288" t="s">
        <v>218</v>
      </c>
      <c r="BL574" s="9">
        <v>6.7587656395347615</v>
      </c>
      <c r="BM574" s="67" t="s">
        <v>66</v>
      </c>
      <c r="BN574" s="56" t="s">
        <v>282</v>
      </c>
      <c r="BO574" s="9">
        <v>6.6672581866038296</v>
      </c>
    </row>
    <row r="575" spans="1:67" x14ac:dyDescent="0.45">
      <c r="A575" s="10">
        <v>566</v>
      </c>
      <c r="B575" s="10" t="s">
        <v>3167</v>
      </c>
      <c r="C575" s="287" t="s">
        <v>2137</v>
      </c>
      <c r="D575" s="65"/>
      <c r="E575" s="56" t="s">
        <v>2273</v>
      </c>
      <c r="F575" s="64" t="s">
        <v>2274</v>
      </c>
      <c r="G575" s="242"/>
      <c r="H575" s="10"/>
      <c r="I575" s="62">
        <v>180.18840228000002</v>
      </c>
      <c r="J575" s="62">
        <v>82.19120104000001</v>
      </c>
      <c r="K575" s="62">
        <v>127.23830161000001</v>
      </c>
      <c r="L575" s="49">
        <v>1842.6736669860118</v>
      </c>
      <c r="M575" s="49">
        <v>1525.6210878092475</v>
      </c>
      <c r="N575" s="49">
        <v>1311.7325211605248</v>
      </c>
      <c r="O575" s="61">
        <v>9.6636054863184224</v>
      </c>
      <c r="P575" s="60"/>
      <c r="Q575" s="16" t="s">
        <v>1505</v>
      </c>
      <c r="R575" s="9">
        <v>9.6490433094400014</v>
      </c>
      <c r="S575" s="16" t="s">
        <v>1505</v>
      </c>
      <c r="T575" s="9">
        <v>12.0613041368</v>
      </c>
      <c r="U575" s="15" t="s">
        <v>291</v>
      </c>
      <c r="V575" s="9">
        <v>12.5</v>
      </c>
      <c r="W575" s="56" t="s">
        <v>282</v>
      </c>
      <c r="X575" s="9">
        <v>76.6791289576</v>
      </c>
      <c r="Y575" s="78" t="s">
        <v>262</v>
      </c>
      <c r="Z575" s="9">
        <v>27.086529747058826</v>
      </c>
      <c r="AA575" s="16" t="s">
        <v>1505</v>
      </c>
      <c r="AB575" s="66" t="s">
        <v>262</v>
      </c>
      <c r="AC575" s="9">
        <v>17.539126658729149</v>
      </c>
      <c r="AD575" s="287" t="s">
        <v>1505</v>
      </c>
      <c r="AE575" s="56" t="s">
        <v>282</v>
      </c>
      <c r="AF575" s="9">
        <v>17.393930159307736</v>
      </c>
      <c r="AG575" s="15" t="s">
        <v>291</v>
      </c>
      <c r="AH575" s="52" t="s">
        <v>282</v>
      </c>
      <c r="AI575" s="9">
        <v>16.870959339718919</v>
      </c>
      <c r="AJ575" s="15" t="s">
        <v>291</v>
      </c>
      <c r="AK575" s="78" t="s">
        <v>262</v>
      </c>
      <c r="AL575" s="9">
        <v>16.810432261221372</v>
      </c>
      <c r="AM575" s="16" t="s">
        <v>1505</v>
      </c>
      <c r="AN575" s="67" t="s">
        <v>91</v>
      </c>
      <c r="AO575" s="9">
        <v>16.194018825060098</v>
      </c>
      <c r="AP575" s="60"/>
      <c r="AQ575" s="16" t="s">
        <v>1505</v>
      </c>
      <c r="AR575" s="9">
        <v>8.0273476889200008</v>
      </c>
      <c r="AS575" s="16" t="s">
        <v>1505</v>
      </c>
      <c r="AT575" s="9">
        <v>4.0136738444600004</v>
      </c>
      <c r="AU575" s="287" t="s">
        <v>2480</v>
      </c>
      <c r="AV575" s="9">
        <v>3.5</v>
      </c>
      <c r="AW575" s="52" t="s">
        <v>282</v>
      </c>
      <c r="AX575" s="9">
        <v>99.382867644880008</v>
      </c>
      <c r="AY575" s="56" t="s">
        <v>282</v>
      </c>
      <c r="AZ575" s="9">
        <v>2.2085081698862226</v>
      </c>
      <c r="BA575" s="287" t="s">
        <v>1505</v>
      </c>
      <c r="BB575" s="56" t="s">
        <v>282</v>
      </c>
      <c r="BC575" s="9">
        <v>10.895986799129485</v>
      </c>
      <c r="BD575" s="64" t="s">
        <v>291</v>
      </c>
      <c r="BE575" s="56" t="s">
        <v>282</v>
      </c>
      <c r="BF575" s="9">
        <v>10.352635173697527</v>
      </c>
      <c r="BG575" s="287" t="s">
        <v>1505</v>
      </c>
      <c r="BH575" s="67" t="s">
        <v>91</v>
      </c>
      <c r="BI575" s="9">
        <v>9.7126877037443311</v>
      </c>
      <c r="BJ575" s="15" t="s">
        <v>291</v>
      </c>
      <c r="BK575" s="76" t="s">
        <v>91</v>
      </c>
      <c r="BL575" s="9">
        <v>9.1693360783123712</v>
      </c>
      <c r="BM575" s="16" t="s">
        <v>1505</v>
      </c>
      <c r="BN575" s="78" t="s">
        <v>262</v>
      </c>
      <c r="BO575" s="9">
        <v>9.0634517441454552</v>
      </c>
    </row>
    <row r="576" spans="1:67" x14ac:dyDescent="0.45">
      <c r="A576" s="10">
        <v>567</v>
      </c>
      <c r="B576" s="10" t="s">
        <v>3168</v>
      </c>
      <c r="C576" s="287" t="s">
        <v>2137</v>
      </c>
      <c r="D576" s="65"/>
      <c r="E576" s="56" t="s">
        <v>2273</v>
      </c>
      <c r="F576" s="64" t="s">
        <v>2274</v>
      </c>
      <c r="G576" s="242"/>
      <c r="H576" s="10"/>
      <c r="I576" s="62">
        <v>242.62210307000001</v>
      </c>
      <c r="J576" s="62">
        <v>121.70620154000001</v>
      </c>
      <c r="K576" s="62">
        <v>154.89880196000001</v>
      </c>
      <c r="L576" s="49">
        <v>3331.2770007751228</v>
      </c>
      <c r="M576" s="49">
        <v>2755.459846048017</v>
      </c>
      <c r="N576" s="49">
        <v>2367.3406680196103</v>
      </c>
      <c r="O576" s="61">
        <v>16.806668968902944</v>
      </c>
      <c r="P576" s="60"/>
      <c r="Q576" s="53" t="s">
        <v>185</v>
      </c>
      <c r="R576" s="9">
        <v>14.344215668850001</v>
      </c>
      <c r="S576" s="53" t="s">
        <v>185</v>
      </c>
      <c r="T576" s="9">
        <v>17.930269586062501</v>
      </c>
      <c r="U576" s="16" t="s">
        <v>1505</v>
      </c>
      <c r="V576" s="9">
        <v>11.25</v>
      </c>
      <c r="W576" s="56" t="s">
        <v>282</v>
      </c>
      <c r="X576" s="9">
        <v>102.9012832894</v>
      </c>
      <c r="Y576" s="78" t="s">
        <v>262</v>
      </c>
      <c r="Z576" s="9">
        <v>36.267956333823534</v>
      </c>
      <c r="AA576" s="16" t="s">
        <v>1505</v>
      </c>
      <c r="AB576" s="66" t="s">
        <v>262</v>
      </c>
      <c r="AC576" s="9">
        <v>23.266761639860995</v>
      </c>
      <c r="AD576" s="287" t="s">
        <v>1505</v>
      </c>
      <c r="AE576" s="56" t="s">
        <v>282</v>
      </c>
      <c r="AF576" s="9">
        <v>23.168600249569053</v>
      </c>
      <c r="AG576" s="53" t="s">
        <v>185</v>
      </c>
      <c r="AH576" s="66" t="s">
        <v>262</v>
      </c>
      <c r="AI576" s="9">
        <v>23.003806787522606</v>
      </c>
      <c r="AJ576" s="53" t="s">
        <v>185</v>
      </c>
      <c r="AK576" s="56" t="s">
        <v>282</v>
      </c>
      <c r="AL576" s="9">
        <v>22.983529133525874</v>
      </c>
      <c r="AM576" s="53" t="s">
        <v>185</v>
      </c>
      <c r="AN576" s="67" t="s">
        <v>91</v>
      </c>
      <c r="AO576" s="9">
        <v>21.663814071409885</v>
      </c>
      <c r="AP576" s="60"/>
      <c r="AQ576" s="53" t="s">
        <v>185</v>
      </c>
      <c r="AR576" s="9">
        <v>12.039305689685001</v>
      </c>
      <c r="AS576" s="53" t="s">
        <v>185</v>
      </c>
      <c r="AT576" s="9">
        <v>6.0196528448425006</v>
      </c>
      <c r="AU576" s="287" t="s">
        <v>1505</v>
      </c>
      <c r="AV576" s="9">
        <v>3.5</v>
      </c>
      <c r="AW576" s="52" t="s">
        <v>282</v>
      </c>
      <c r="AX576" s="9">
        <v>133.47166827622002</v>
      </c>
      <c r="AY576" s="56" t="s">
        <v>282</v>
      </c>
      <c r="AZ576" s="9">
        <v>2.9660370728048893</v>
      </c>
      <c r="BA576" s="287" t="s">
        <v>1505</v>
      </c>
      <c r="BB576" s="56" t="s">
        <v>282</v>
      </c>
      <c r="BC576" s="9">
        <v>14.485602771354538</v>
      </c>
      <c r="BD576" s="287" t="s">
        <v>1505</v>
      </c>
      <c r="BE576" s="76" t="s">
        <v>91</v>
      </c>
      <c r="BF576" s="9">
        <v>12.892300919235051</v>
      </c>
      <c r="BG576" s="59" t="s">
        <v>185</v>
      </c>
      <c r="BH576" s="52" t="s">
        <v>282</v>
      </c>
      <c r="BI576" s="9">
        <v>12.727653657020264</v>
      </c>
      <c r="BJ576" s="16" t="s">
        <v>1505</v>
      </c>
      <c r="BK576" s="78" t="s">
        <v>262</v>
      </c>
      <c r="BL576" s="9">
        <v>12.014863054218182</v>
      </c>
      <c r="BM576" s="53" t="s">
        <v>185</v>
      </c>
      <c r="BN576" s="76" t="s">
        <v>91</v>
      </c>
      <c r="BO576" s="9">
        <v>11.565621479158686</v>
      </c>
    </row>
    <row r="577" spans="1:67" x14ac:dyDescent="0.45">
      <c r="A577" s="10">
        <v>568</v>
      </c>
      <c r="B577" s="10" t="s">
        <v>3169</v>
      </c>
      <c r="C577" s="63" t="s">
        <v>1971</v>
      </c>
      <c r="D577" s="65"/>
      <c r="E577" s="80" t="s">
        <v>2175</v>
      </c>
      <c r="F577" s="58" t="s">
        <v>2210</v>
      </c>
      <c r="G577" s="242"/>
      <c r="H577" s="10"/>
      <c r="I577" s="62">
        <v>87.723301110000008</v>
      </c>
      <c r="J577" s="62">
        <v>108.27110137000001</v>
      </c>
      <c r="K577" s="62">
        <v>120.12560152</v>
      </c>
      <c r="L577" s="49">
        <v>1000.435355177352</v>
      </c>
      <c r="M577" s="49">
        <v>1091.8812228388886</v>
      </c>
      <c r="N577" s="49">
        <v>1171.0204798415566</v>
      </c>
      <c r="O577" s="61">
        <v>11.735514138396727</v>
      </c>
      <c r="P577" s="60"/>
      <c r="Q577" s="15" t="s">
        <v>173</v>
      </c>
      <c r="R577" s="9">
        <v>4.5089320444000007</v>
      </c>
      <c r="S577" s="15" t="s">
        <v>288</v>
      </c>
      <c r="T577" s="9">
        <v>6.7838592314166668</v>
      </c>
      <c r="U577" s="15" t="s">
        <v>288</v>
      </c>
      <c r="V577" s="9">
        <v>10</v>
      </c>
      <c r="W577" s="63" t="s">
        <v>251</v>
      </c>
      <c r="X577" s="9">
        <v>69.424174865799998</v>
      </c>
      <c r="Y577" s="63" t="s">
        <v>251</v>
      </c>
      <c r="Z577" s="9">
        <v>22.394895117999997</v>
      </c>
      <c r="AA577" s="15" t="s">
        <v>288</v>
      </c>
      <c r="AB577" s="54" t="s">
        <v>251</v>
      </c>
      <c r="AC577" s="9">
        <v>10.422521731296994</v>
      </c>
      <c r="AD577" s="64" t="s">
        <v>288</v>
      </c>
      <c r="AE577" s="79" t="s">
        <v>264</v>
      </c>
      <c r="AF577" s="9">
        <v>8.7859089404856849</v>
      </c>
      <c r="AG577" s="15" t="s">
        <v>173</v>
      </c>
      <c r="AH577" s="54" t="s">
        <v>251</v>
      </c>
      <c r="AI577" s="9">
        <v>7.5836751860794704</v>
      </c>
      <c r="AJ577" s="15" t="s">
        <v>173</v>
      </c>
      <c r="AK577" s="79" t="s">
        <v>264</v>
      </c>
      <c r="AL577" s="9">
        <v>6.5825707027185798</v>
      </c>
      <c r="AM577" s="15"/>
      <c r="AN577" s="52"/>
      <c r="AO577" s="9"/>
      <c r="AP577" s="60"/>
      <c r="AQ577" s="15" t="s">
        <v>3437</v>
      </c>
      <c r="AR577" s="9">
        <v>3.8510072860750002</v>
      </c>
      <c r="AS577" s="15" t="s">
        <v>288</v>
      </c>
      <c r="AT577" s="9">
        <v>1.9255036430375001</v>
      </c>
      <c r="AU577" s="64" t="s">
        <v>173</v>
      </c>
      <c r="AV577" s="9">
        <v>2.6666666666666998</v>
      </c>
      <c r="AW577" s="54" t="s">
        <v>251</v>
      </c>
      <c r="AX577" s="9">
        <v>89.95142732554001</v>
      </c>
      <c r="AY577" s="63" t="s">
        <v>251</v>
      </c>
      <c r="AZ577" s="9">
        <v>1.1993523643405335</v>
      </c>
      <c r="BA577" s="64" t="s">
        <v>173</v>
      </c>
      <c r="BB577" s="63" t="s">
        <v>251</v>
      </c>
      <c r="BC577" s="9">
        <v>4.3280556440340989</v>
      </c>
      <c r="BD577" s="64" t="s">
        <v>288</v>
      </c>
      <c r="BE577" s="63" t="s">
        <v>251</v>
      </c>
      <c r="BF577" s="9">
        <v>4.2118912711544487</v>
      </c>
      <c r="BG577" s="64" t="s">
        <v>288</v>
      </c>
      <c r="BH577" s="72" t="s">
        <v>264</v>
      </c>
      <c r="BI577" s="9">
        <v>3.3748168098845239</v>
      </c>
      <c r="BJ577" s="15" t="s">
        <v>173</v>
      </c>
      <c r="BK577" s="79" t="s">
        <v>264</v>
      </c>
      <c r="BL577" s="9">
        <v>3.2260072860750002</v>
      </c>
      <c r="BM577" s="57"/>
      <c r="BN577" s="78"/>
      <c r="BO577" s="9"/>
    </row>
    <row r="578" spans="1:67" x14ac:dyDescent="0.45">
      <c r="A578" s="10">
        <v>569</v>
      </c>
      <c r="B578" s="10" t="s">
        <v>3170</v>
      </c>
      <c r="C578" s="63" t="s">
        <v>1971</v>
      </c>
      <c r="D578" s="65"/>
      <c r="E578" s="80" t="s">
        <v>2175</v>
      </c>
      <c r="F578" s="58" t="s">
        <v>2210</v>
      </c>
      <c r="G578" s="242"/>
      <c r="H578" s="10"/>
      <c r="I578" s="62">
        <v>154.89880196000001</v>
      </c>
      <c r="J578" s="62">
        <v>141.46370179000002</v>
      </c>
      <c r="K578" s="62">
        <v>162.01150205000002</v>
      </c>
      <c r="L578" s="49">
        <v>2345.0034837582821</v>
      </c>
      <c r="M578" s="49">
        <v>2327.1584297431646</v>
      </c>
      <c r="N578" s="49">
        <v>2312.9802105527588</v>
      </c>
      <c r="O578" s="61">
        <v>20.07838425051175</v>
      </c>
      <c r="P578" s="60"/>
      <c r="Q578" s="69" t="s">
        <v>10</v>
      </c>
      <c r="R578" s="9">
        <v>8.7449400980000007</v>
      </c>
      <c r="S578" s="69" t="s">
        <v>10</v>
      </c>
      <c r="T578" s="9">
        <v>7.949945543636364</v>
      </c>
      <c r="U578" s="69" t="s">
        <v>10</v>
      </c>
      <c r="V578" s="9">
        <v>12.727</v>
      </c>
      <c r="W578" s="63" t="s">
        <v>251</v>
      </c>
      <c r="X578" s="9">
        <v>121.82106552880001</v>
      </c>
      <c r="Y578" s="63" t="s">
        <v>251</v>
      </c>
      <c r="Z578" s="9">
        <v>39.297117912516129</v>
      </c>
      <c r="AA578" s="69" t="s">
        <v>10</v>
      </c>
      <c r="AB578" s="54" t="s">
        <v>251</v>
      </c>
      <c r="AC578" s="9">
        <v>16.116015656537815</v>
      </c>
      <c r="AD578" s="289" t="s">
        <v>10</v>
      </c>
      <c r="AE578" s="79" t="s">
        <v>264</v>
      </c>
      <c r="AF578" s="9">
        <v>13.650732454278506</v>
      </c>
      <c r="AG578" s="69" t="s">
        <v>10</v>
      </c>
      <c r="AH578" s="15" t="s">
        <v>1480</v>
      </c>
      <c r="AI578" s="9">
        <v>13.397952741728135</v>
      </c>
      <c r="AJ578" s="15" t="s">
        <v>173</v>
      </c>
      <c r="AK578" s="63" t="s">
        <v>251</v>
      </c>
      <c r="AL578" s="9">
        <v>12.83315141144371</v>
      </c>
      <c r="AM578" s="15" t="s">
        <v>173</v>
      </c>
      <c r="AN578" s="72" t="s">
        <v>264</v>
      </c>
      <c r="AO578" s="9">
        <v>11.079291388032786</v>
      </c>
      <c r="AP578" s="60"/>
      <c r="AQ578" s="69" t="s">
        <v>10</v>
      </c>
      <c r="AR578" s="9">
        <v>7.0410532764400005</v>
      </c>
      <c r="AS578" s="69" t="s">
        <v>10</v>
      </c>
      <c r="AT578" s="9">
        <v>2.3470177588133336</v>
      </c>
      <c r="AU578" s="289" t="s">
        <v>10</v>
      </c>
      <c r="AV578" s="9">
        <v>3.6666666666666998</v>
      </c>
      <c r="AW578" s="54" t="s">
        <v>251</v>
      </c>
      <c r="AX578" s="9">
        <v>158.06738518744001</v>
      </c>
      <c r="AY578" s="63" t="s">
        <v>251</v>
      </c>
      <c r="AZ578" s="9">
        <v>2.1075651358325334</v>
      </c>
      <c r="BA578" s="289" t="s">
        <v>10</v>
      </c>
      <c r="BB578" s="63" t="s">
        <v>251</v>
      </c>
      <c r="BC578" s="9">
        <v>9.6051704779442382</v>
      </c>
      <c r="BD578" s="289" t="s">
        <v>10</v>
      </c>
      <c r="BE578" s="64" t="s">
        <v>1480</v>
      </c>
      <c r="BF578" s="9">
        <v>7.9478683196879327</v>
      </c>
      <c r="BG578" s="64" t="s">
        <v>173</v>
      </c>
      <c r="BH578" s="54" t="s">
        <v>251</v>
      </c>
      <c r="BI578" s="9">
        <v>7.3695489754378549</v>
      </c>
      <c r="BJ578" s="69" t="s">
        <v>10</v>
      </c>
      <c r="BK578" s="79" t="s">
        <v>264</v>
      </c>
      <c r="BL578" s="9">
        <v>6.8838295401931306</v>
      </c>
      <c r="BM578" s="15" t="s">
        <v>173</v>
      </c>
      <c r="BN578" s="64" t="s">
        <v>1480</v>
      </c>
      <c r="BO578" s="9">
        <v>6.2166517641123908</v>
      </c>
    </row>
    <row r="579" spans="1:67" x14ac:dyDescent="0.45">
      <c r="A579" s="10">
        <v>588</v>
      </c>
      <c r="B579" s="10" t="s">
        <v>3171</v>
      </c>
      <c r="C579" s="289" t="s">
        <v>1887</v>
      </c>
      <c r="D579" s="65"/>
      <c r="E579" s="287" t="s">
        <v>2203</v>
      </c>
      <c r="F579" s="58" t="s">
        <v>2204</v>
      </c>
      <c r="G579" s="242"/>
      <c r="H579" s="10"/>
      <c r="I579" s="62">
        <v>120.12560152</v>
      </c>
      <c r="J579" s="62">
        <v>80.610601020000004</v>
      </c>
      <c r="K579" s="62">
        <v>120.12560152</v>
      </c>
      <c r="L579" s="49">
        <v>1182.087003976096</v>
      </c>
      <c r="M579" s="49">
        <v>1106.0519861776897</v>
      </c>
      <c r="N579" s="49">
        <v>1048.7607315276298</v>
      </c>
      <c r="O579" s="61">
        <v>8.961041958385346</v>
      </c>
      <c r="P579" s="60"/>
      <c r="Q579" s="16" t="s">
        <v>1515</v>
      </c>
      <c r="R579" s="9">
        <v>7.0062800760000004</v>
      </c>
      <c r="S579" s="69" t="s">
        <v>27</v>
      </c>
      <c r="T579" s="9">
        <v>7.9056520683999993</v>
      </c>
      <c r="U579" s="69" t="s">
        <v>27</v>
      </c>
      <c r="V579" s="9">
        <v>15</v>
      </c>
      <c r="W579" s="289" t="s">
        <v>1534</v>
      </c>
      <c r="X579" s="9">
        <v>55.056520683999999</v>
      </c>
      <c r="Y579" s="289" t="s">
        <v>26</v>
      </c>
      <c r="Z579" s="9">
        <v>20.896195256499997</v>
      </c>
      <c r="AA579" s="69" t="s">
        <v>27</v>
      </c>
      <c r="AB579" s="69" t="s">
        <v>26</v>
      </c>
      <c r="AC579" s="9">
        <v>13.343553868069765</v>
      </c>
      <c r="AD579" s="289" t="s">
        <v>27</v>
      </c>
      <c r="AE579" s="289" t="s">
        <v>1534</v>
      </c>
      <c r="AF579" s="9">
        <v>13.060218328128343</v>
      </c>
      <c r="AG579" s="69" t="s">
        <v>27</v>
      </c>
      <c r="AH579" s="71" t="s">
        <v>1487</v>
      </c>
      <c r="AI579" s="9">
        <v>12.293871875434784</v>
      </c>
      <c r="AJ579" s="16" t="s">
        <v>1515</v>
      </c>
      <c r="AK579" s="289" t="s">
        <v>26</v>
      </c>
      <c r="AL579" s="9">
        <v>11.511117431837837</v>
      </c>
      <c r="AM579" s="16" t="s">
        <v>1515</v>
      </c>
      <c r="AN579" s="69" t="s">
        <v>1534</v>
      </c>
      <c r="AO579" s="9">
        <v>11.403534311898733</v>
      </c>
      <c r="AP579" s="60"/>
      <c r="AQ579" s="16" t="s">
        <v>1515</v>
      </c>
      <c r="AR579" s="9">
        <v>5.6848984592800003</v>
      </c>
      <c r="AS579" s="69" t="s">
        <v>27</v>
      </c>
      <c r="AT579" s="9">
        <v>2.8739593837120001</v>
      </c>
      <c r="AU579" s="289" t="s">
        <v>27</v>
      </c>
      <c r="AV579" s="9">
        <v>4</v>
      </c>
      <c r="AW579" s="69" t="s">
        <v>1534</v>
      </c>
      <c r="AX579" s="9">
        <v>71.273476889199998</v>
      </c>
      <c r="AY579" s="289" t="s">
        <v>1534</v>
      </c>
      <c r="AZ579" s="9">
        <v>1.2958813979854544</v>
      </c>
      <c r="BA579" s="289" t="s">
        <v>27</v>
      </c>
      <c r="BB579" s="289" t="s">
        <v>1534</v>
      </c>
      <c r="BC579" s="9">
        <v>7.5112148078128813</v>
      </c>
      <c r="BD579" s="289" t="s">
        <v>27</v>
      </c>
      <c r="BE579" s="289" t="s">
        <v>26</v>
      </c>
      <c r="BF579" s="9">
        <v>7.0062800760000004</v>
      </c>
      <c r="BG579" s="289" t="s">
        <v>27</v>
      </c>
      <c r="BH579" s="71" t="s">
        <v>1487</v>
      </c>
      <c r="BI579" s="9">
        <v>6.9818477502671188</v>
      </c>
      <c r="BJ579" s="69" t="s">
        <v>27</v>
      </c>
      <c r="BK579" s="287" t="s">
        <v>203</v>
      </c>
      <c r="BL579" s="9">
        <v>6.2266894375640831</v>
      </c>
      <c r="BM579" s="16" t="s">
        <v>1515</v>
      </c>
      <c r="BN579" s="289" t="s">
        <v>1534</v>
      </c>
      <c r="BO579" s="9">
        <v>5.8177113017947821</v>
      </c>
    </row>
    <row r="580" spans="1:67" x14ac:dyDescent="0.45">
      <c r="A580" s="10">
        <v>589</v>
      </c>
      <c r="B580" s="10" t="s">
        <v>3172</v>
      </c>
      <c r="C580" s="289" t="s">
        <v>2149</v>
      </c>
      <c r="D580" s="75" t="s">
        <v>1976</v>
      </c>
      <c r="E580" s="58"/>
      <c r="F580" s="64" t="s">
        <v>2297</v>
      </c>
      <c r="G580" s="63" t="s">
        <v>2106</v>
      </c>
      <c r="H580" s="10"/>
      <c r="I580" s="62">
        <v>188.09140238000001</v>
      </c>
      <c r="J580" s="62">
        <v>159.64060202000002</v>
      </c>
      <c r="K580" s="62">
        <v>147.78610187000001</v>
      </c>
      <c r="L580" s="49">
        <v>2889.0657113513726</v>
      </c>
      <c r="M580" s="49">
        <v>2700.4155297412949</v>
      </c>
      <c r="N580" s="49">
        <v>2558.4040769771782</v>
      </c>
      <c r="O580" s="61">
        <v>20.344805305729501</v>
      </c>
      <c r="P580" s="60"/>
      <c r="Q580" s="55" t="s">
        <v>45</v>
      </c>
      <c r="R580" s="9">
        <v>12.2854841428</v>
      </c>
      <c r="S580" s="55" t="s">
        <v>45</v>
      </c>
      <c r="T580" s="9">
        <v>13.650537936444444</v>
      </c>
      <c r="U580" s="69" t="s">
        <v>38</v>
      </c>
      <c r="V580" s="9">
        <v>12</v>
      </c>
      <c r="W580" s="289" t="s">
        <v>97</v>
      </c>
      <c r="X580" s="9">
        <v>102.5693572852</v>
      </c>
      <c r="Y580" s="289" t="s">
        <v>97</v>
      </c>
      <c r="Z580" s="9">
        <v>46.622435129636358</v>
      </c>
      <c r="AA580" s="69" t="s">
        <v>38</v>
      </c>
      <c r="AB580" s="69" t="s">
        <v>97</v>
      </c>
      <c r="AC580" s="9">
        <v>20.139810513925234</v>
      </c>
      <c r="AD580" s="289" t="s">
        <v>38</v>
      </c>
      <c r="AE580" s="80" t="s">
        <v>1487</v>
      </c>
      <c r="AF580" s="9">
        <v>18.888910748373206</v>
      </c>
      <c r="AG580" s="55" t="s">
        <v>45</v>
      </c>
      <c r="AH580" s="69" t="s">
        <v>97</v>
      </c>
      <c r="AI580" s="9">
        <v>18.869111592920863</v>
      </c>
      <c r="AJ580" s="55" t="s">
        <v>45</v>
      </c>
      <c r="AK580" s="80" t="s">
        <v>1487</v>
      </c>
      <c r="AL580" s="9">
        <v>18.162710604688424</v>
      </c>
      <c r="AM580" s="69" t="s">
        <v>38</v>
      </c>
      <c r="AN580" s="16" t="s">
        <v>203</v>
      </c>
      <c r="AO580" s="9">
        <v>17.310371769538627</v>
      </c>
      <c r="AP580" s="60"/>
      <c r="AQ580" s="55" t="s">
        <v>45</v>
      </c>
      <c r="AR580" s="9">
        <v>10.780752923760001</v>
      </c>
      <c r="AS580" s="69" t="s">
        <v>38</v>
      </c>
      <c r="AT580" s="9">
        <v>5.4013388156920001</v>
      </c>
      <c r="AU580" s="58" t="s">
        <v>45</v>
      </c>
      <c r="AV580" s="9">
        <v>3.5</v>
      </c>
      <c r="AW580" s="69" t="s">
        <v>97</v>
      </c>
      <c r="AX580" s="9">
        <v>133.04016447076</v>
      </c>
      <c r="AY580" s="289" t="s">
        <v>97</v>
      </c>
      <c r="AZ580" s="9">
        <v>2.4189120812865457</v>
      </c>
      <c r="BA580" s="58" t="s">
        <v>45</v>
      </c>
      <c r="BB580" s="289" t="s">
        <v>97</v>
      </c>
      <c r="BC580" s="9">
        <v>13.027543265830086</v>
      </c>
      <c r="BD580" s="289" t="s">
        <v>38</v>
      </c>
      <c r="BE580" s="289" t="s">
        <v>97</v>
      </c>
      <c r="BF580" s="9">
        <v>12.00334703923</v>
      </c>
      <c r="BG580" s="58" t="s">
        <v>45</v>
      </c>
      <c r="BH580" s="71" t="s">
        <v>1487</v>
      </c>
      <c r="BI580" s="9">
        <v>10.979436884358975</v>
      </c>
      <c r="BJ580" s="69" t="s">
        <v>38</v>
      </c>
      <c r="BK580" s="80" t="s">
        <v>1487</v>
      </c>
      <c r="BL580" s="9">
        <v>10.232693492687241</v>
      </c>
      <c r="BM580" s="55" t="s">
        <v>45</v>
      </c>
      <c r="BN580" s="287" t="s">
        <v>203</v>
      </c>
      <c r="BO580" s="9">
        <v>9.9261094435582482</v>
      </c>
    </row>
    <row r="581" spans="1:67" x14ac:dyDescent="0.45">
      <c r="A581" s="10">
        <v>590</v>
      </c>
      <c r="B581" s="10" t="s">
        <v>384</v>
      </c>
      <c r="C581" s="63" t="s">
        <v>2106</v>
      </c>
      <c r="D581" s="65"/>
      <c r="E581" s="287" t="s">
        <v>2196</v>
      </c>
      <c r="F581" s="58" t="s">
        <v>2197</v>
      </c>
      <c r="G581" s="79" t="s">
        <v>1983</v>
      </c>
      <c r="H581" s="10"/>
      <c r="I581" s="62">
        <v>88.513601120000004</v>
      </c>
      <c r="J581" s="62">
        <v>83.771801060000001</v>
      </c>
      <c r="K581" s="62">
        <v>146.20550185000002</v>
      </c>
      <c r="L581" s="49">
        <v>979.58199568823125</v>
      </c>
      <c r="M581" s="49">
        <v>1055.3124273742637</v>
      </c>
      <c r="N581" s="49">
        <v>1120.0908741602466</v>
      </c>
      <c r="O581" s="61">
        <v>11.301178165806137</v>
      </c>
      <c r="P581" s="60"/>
      <c r="Q581" s="67" t="s">
        <v>14</v>
      </c>
      <c r="R581" s="9">
        <v>5.425680056</v>
      </c>
      <c r="S581" s="67" t="s">
        <v>14</v>
      </c>
      <c r="T581" s="9">
        <v>6.0285333955555558</v>
      </c>
      <c r="U581" s="68" t="s">
        <v>277</v>
      </c>
      <c r="V581" s="9">
        <v>12.727</v>
      </c>
      <c r="W581" s="79" t="s">
        <v>2398</v>
      </c>
      <c r="X581" s="9">
        <v>48.797344604800003</v>
      </c>
      <c r="Y581" s="79" t="s">
        <v>23</v>
      </c>
      <c r="Z581" s="9">
        <v>18.768209463384615</v>
      </c>
      <c r="AA581" s="67" t="s">
        <v>14</v>
      </c>
      <c r="AB581" s="72" t="s">
        <v>23</v>
      </c>
      <c r="AC581" s="9">
        <v>10.386843629286551</v>
      </c>
      <c r="AD581" s="77" t="s">
        <v>277</v>
      </c>
      <c r="AE581" s="79" t="s">
        <v>23</v>
      </c>
      <c r="AF581" s="9">
        <v>9.9583153906695827</v>
      </c>
      <c r="AG581" s="67" t="s">
        <v>14</v>
      </c>
      <c r="AH581" s="72" t="s">
        <v>33</v>
      </c>
      <c r="AI581" s="9">
        <v>8.8696642227615481</v>
      </c>
      <c r="AJ581" s="68" t="s">
        <v>277</v>
      </c>
      <c r="AK581" s="79" t="s">
        <v>33</v>
      </c>
      <c r="AL581" s="9">
        <v>8.3046535283503644</v>
      </c>
      <c r="AM581" s="67" t="s">
        <v>14</v>
      </c>
      <c r="AN581" s="15" t="s">
        <v>1480</v>
      </c>
      <c r="AO581" s="9">
        <v>8.2592697322009911</v>
      </c>
      <c r="AP581" s="60"/>
      <c r="AQ581" s="67" t="s">
        <v>14</v>
      </c>
      <c r="AR581" s="9">
        <v>4.45203044368</v>
      </c>
      <c r="AS581" s="67" t="s">
        <v>14</v>
      </c>
      <c r="AT581" s="9">
        <v>2.22601522184</v>
      </c>
      <c r="AU581" s="77" t="s">
        <v>2502</v>
      </c>
      <c r="AV581" s="9">
        <v>3</v>
      </c>
      <c r="AW581" s="72" t="s">
        <v>2397</v>
      </c>
      <c r="AX581" s="9">
        <v>63.136547986240004</v>
      </c>
      <c r="AY581" s="79" t="s">
        <v>23</v>
      </c>
      <c r="AZ581" s="9">
        <v>1.2627309597248</v>
      </c>
      <c r="BA581" s="76" t="s">
        <v>14</v>
      </c>
      <c r="BB581" s="79" t="s">
        <v>23</v>
      </c>
      <c r="BC581" s="9">
        <v>5.6737812273720749</v>
      </c>
      <c r="BD581" s="76" t="s">
        <v>14</v>
      </c>
      <c r="BE581" s="79" t="s">
        <v>33</v>
      </c>
      <c r="BF581" s="9">
        <v>5.1265167820495243</v>
      </c>
      <c r="BG581" s="76" t="s">
        <v>14</v>
      </c>
      <c r="BH581" s="15" t="s">
        <v>1480</v>
      </c>
      <c r="BI581" s="9">
        <v>4.854511738810527</v>
      </c>
      <c r="BJ581" s="68" t="s">
        <v>277</v>
      </c>
      <c r="BK581" s="79" t="s">
        <v>23</v>
      </c>
      <c r="BL581" s="9">
        <v>4.7928524131833967</v>
      </c>
      <c r="BM581" s="68" t="s">
        <v>277</v>
      </c>
      <c r="BN581" s="79" t="s">
        <v>33</v>
      </c>
      <c r="BO581" s="9">
        <v>4.2371981696304761</v>
      </c>
    </row>
    <row r="582" spans="1:67" x14ac:dyDescent="0.45">
      <c r="A582" s="10">
        <v>591</v>
      </c>
      <c r="B582" s="10" t="s">
        <v>31</v>
      </c>
      <c r="C582" s="63" t="s">
        <v>2106</v>
      </c>
      <c r="D582" s="65"/>
      <c r="E582" s="287" t="s">
        <v>2196</v>
      </c>
      <c r="F582" s="58" t="s">
        <v>2197</v>
      </c>
      <c r="G582" s="79" t="s">
        <v>1983</v>
      </c>
      <c r="H582" s="10"/>
      <c r="I582" s="62">
        <v>134.35100170000001</v>
      </c>
      <c r="J582" s="62">
        <v>121.70620154000001</v>
      </c>
      <c r="K582" s="62">
        <v>208.63920264000001</v>
      </c>
      <c r="L582" s="49">
        <v>2140.8942714900845</v>
      </c>
      <c r="M582" s="49">
        <v>2266.2075787083368</v>
      </c>
      <c r="N582" s="49">
        <v>2371.7191574072731</v>
      </c>
      <c r="O582" s="61">
        <v>22.637554121379477</v>
      </c>
      <c r="P582" s="60"/>
      <c r="Q582" s="67" t="s">
        <v>14</v>
      </c>
      <c r="R582" s="9">
        <v>7.7175500850000009</v>
      </c>
      <c r="S582" s="67" t="s">
        <v>14</v>
      </c>
      <c r="T582" s="9">
        <v>8.5750556500000013</v>
      </c>
      <c r="U582" s="68" t="s">
        <v>277</v>
      </c>
      <c r="V582" s="9">
        <v>12.727</v>
      </c>
      <c r="W582" s="79" t="s">
        <v>23</v>
      </c>
      <c r="X582" s="9">
        <v>73.549540918000005</v>
      </c>
      <c r="Y582" s="63" t="s">
        <v>124</v>
      </c>
      <c r="Z582" s="9">
        <v>28.473252528695657</v>
      </c>
      <c r="AA582" s="67" t="s">
        <v>14</v>
      </c>
      <c r="AB582" s="72" t="s">
        <v>23</v>
      </c>
      <c r="AC582" s="9">
        <v>15.319055153684213</v>
      </c>
      <c r="AD582" s="76" t="s">
        <v>14</v>
      </c>
      <c r="AE582" s="63" t="s">
        <v>124</v>
      </c>
      <c r="AF582" s="9">
        <v>14.844350556986305</v>
      </c>
      <c r="AG582" s="68" t="s">
        <v>277</v>
      </c>
      <c r="AH582" s="72" t="s">
        <v>23</v>
      </c>
      <c r="AI582" s="9">
        <v>14.752686829890591</v>
      </c>
      <c r="AJ582" s="68" t="s">
        <v>277</v>
      </c>
      <c r="AK582" s="63" t="s">
        <v>124</v>
      </c>
      <c r="AL582" s="9">
        <v>14.169045124128443</v>
      </c>
      <c r="AM582" s="67" t="s">
        <v>14</v>
      </c>
      <c r="AN582" s="67" t="s">
        <v>30</v>
      </c>
      <c r="AO582" s="9">
        <v>12.985446977857142</v>
      </c>
      <c r="AP582" s="60"/>
      <c r="AQ582" s="67" t="s">
        <v>14</v>
      </c>
      <c r="AR582" s="9">
        <v>6.2396890663000004</v>
      </c>
      <c r="AS582" s="67" t="s">
        <v>14</v>
      </c>
      <c r="AT582" s="9">
        <v>3.1198445331500002</v>
      </c>
      <c r="AU582" s="77" t="s">
        <v>2502</v>
      </c>
      <c r="AV582" s="9">
        <v>3</v>
      </c>
      <c r="AW582" s="72" t="s">
        <v>23</v>
      </c>
      <c r="AX582" s="9">
        <v>95.314403193400011</v>
      </c>
      <c r="AY582" s="79" t="s">
        <v>23</v>
      </c>
      <c r="AZ582" s="9">
        <v>1.9062880638680002</v>
      </c>
      <c r="BA582" s="76" t="s">
        <v>14</v>
      </c>
      <c r="BB582" s="79" t="s">
        <v>23</v>
      </c>
      <c r="BC582" s="9">
        <v>8.3384044573150948</v>
      </c>
      <c r="BD582" s="76" t="s">
        <v>14</v>
      </c>
      <c r="BE582" s="63" t="s">
        <v>124</v>
      </c>
      <c r="BF582" s="9">
        <v>7.7452321101867936</v>
      </c>
      <c r="BG582" s="77" t="s">
        <v>277</v>
      </c>
      <c r="BH582" s="72" t="s">
        <v>23</v>
      </c>
      <c r="BI582" s="9">
        <v>7.0827044434157251</v>
      </c>
      <c r="BJ582" s="67" t="s">
        <v>14</v>
      </c>
      <c r="BK582" s="76" t="s">
        <v>30</v>
      </c>
      <c r="BL582" s="9">
        <v>6.8079608606718756</v>
      </c>
      <c r="BM582" s="68" t="s">
        <v>277</v>
      </c>
      <c r="BN582" s="63" t="s">
        <v>124</v>
      </c>
      <c r="BO582" s="9">
        <v>6.489532096287423</v>
      </c>
    </row>
    <row r="583" spans="1:67" x14ac:dyDescent="0.45">
      <c r="A583" s="10">
        <v>595</v>
      </c>
      <c r="B583" s="10" t="s">
        <v>3173</v>
      </c>
      <c r="C583" s="289" t="s">
        <v>3422</v>
      </c>
      <c r="D583" s="65"/>
      <c r="E583" s="56" t="s">
        <v>2154</v>
      </c>
      <c r="F583" s="58" t="s">
        <v>3473</v>
      </c>
      <c r="G583" s="242"/>
      <c r="H583" s="10"/>
      <c r="I583" s="62">
        <v>98.787501250000005</v>
      </c>
      <c r="J583" s="62">
        <v>89.30390113</v>
      </c>
      <c r="K583" s="62">
        <v>120.12560152</v>
      </c>
      <c r="L583" s="49">
        <v>1023.1869763710736</v>
      </c>
      <c r="M583" s="49">
        <v>1039.454150793254</v>
      </c>
      <c r="N583" s="49">
        <v>1052.6539033614763</v>
      </c>
      <c r="O583" s="61">
        <v>9.8482019849514817</v>
      </c>
      <c r="P583" s="60"/>
      <c r="Q583" s="51" t="s">
        <v>74</v>
      </c>
      <c r="R583" s="9">
        <v>5.7418000600000001</v>
      </c>
      <c r="S583" s="67" t="s">
        <v>266</v>
      </c>
      <c r="T583" s="9">
        <v>6.3679464910714287</v>
      </c>
      <c r="U583" s="51" t="s">
        <v>74</v>
      </c>
      <c r="V583" s="9">
        <v>13.635999999999999</v>
      </c>
      <c r="W583" s="289" t="s">
        <v>126</v>
      </c>
      <c r="X583" s="9">
        <v>54.345250675000003</v>
      </c>
      <c r="Y583" s="290" t="s">
        <v>302</v>
      </c>
      <c r="Z583" s="9">
        <v>15.810850195</v>
      </c>
      <c r="AA583" s="67" t="s">
        <v>266</v>
      </c>
      <c r="AB583" s="51" t="s">
        <v>302</v>
      </c>
      <c r="AC583" s="9">
        <v>10.726209739038461</v>
      </c>
      <c r="AD583" s="290" t="s">
        <v>74</v>
      </c>
      <c r="AE583" s="290" t="s">
        <v>302</v>
      </c>
      <c r="AF583" s="9">
        <v>10.574834395224718</v>
      </c>
      <c r="AG583" s="67" t="s">
        <v>266</v>
      </c>
      <c r="AH583" s="69" t="s">
        <v>126</v>
      </c>
      <c r="AI583" s="9">
        <v>10.180187810952013</v>
      </c>
      <c r="AJ583" s="51" t="s">
        <v>74</v>
      </c>
      <c r="AK583" s="289" t="s">
        <v>126</v>
      </c>
      <c r="AL583" s="9">
        <v>9.9752829242081447</v>
      </c>
      <c r="AM583" s="67" t="s">
        <v>266</v>
      </c>
      <c r="AN583" s="54" t="s">
        <v>1511</v>
      </c>
      <c r="AO583" s="9">
        <v>8.9050590601415092</v>
      </c>
      <c r="AP583" s="60"/>
      <c r="AQ583" s="51" t="s">
        <v>74</v>
      </c>
      <c r="AR583" s="9">
        <v>4.8527125487500005</v>
      </c>
      <c r="AS583" s="67" t="s">
        <v>266</v>
      </c>
      <c r="AT583" s="9">
        <v>2.1052968953125002</v>
      </c>
      <c r="AU583" s="290" t="s">
        <v>74</v>
      </c>
      <c r="AV583" s="9">
        <v>3.6666666666666998</v>
      </c>
      <c r="AW583" s="69" t="s">
        <v>126</v>
      </c>
      <c r="AX583" s="9">
        <v>70.348825877500005</v>
      </c>
      <c r="AY583" s="289" t="s">
        <v>126</v>
      </c>
      <c r="AZ583" s="9">
        <v>1.1724804312916668</v>
      </c>
      <c r="BA583" s="76" t="s">
        <v>266</v>
      </c>
      <c r="BB583" s="289" t="s">
        <v>126</v>
      </c>
      <c r="BC583" s="9">
        <v>5.8667512486614184</v>
      </c>
      <c r="BD583" s="76" t="s">
        <v>266</v>
      </c>
      <c r="BE583" s="290" t="s">
        <v>302</v>
      </c>
      <c r="BF583" s="9">
        <v>5.6399336341688144</v>
      </c>
      <c r="BG583" s="290" t="s">
        <v>74</v>
      </c>
      <c r="BH583" s="69" t="s">
        <v>126</v>
      </c>
      <c r="BI583" s="9">
        <v>5.5759153799869114</v>
      </c>
      <c r="BJ583" s="51" t="s">
        <v>74</v>
      </c>
      <c r="BK583" s="290" t="s">
        <v>302</v>
      </c>
      <c r="BL583" s="9">
        <v>5.3445887614041103</v>
      </c>
      <c r="BM583" s="67" t="s">
        <v>266</v>
      </c>
      <c r="BN583" s="63" t="s">
        <v>1511</v>
      </c>
      <c r="BO583" s="9">
        <v>4.3397926616477278</v>
      </c>
    </row>
    <row r="584" spans="1:67" x14ac:dyDescent="0.45">
      <c r="A584" s="10">
        <v>596</v>
      </c>
      <c r="B584" s="10" t="s">
        <v>3174</v>
      </c>
      <c r="C584" s="289" t="s">
        <v>3422</v>
      </c>
      <c r="D584" s="65"/>
      <c r="E584" s="56" t="s">
        <v>2154</v>
      </c>
      <c r="F584" s="58" t="s">
        <v>3473</v>
      </c>
      <c r="G584" s="242"/>
      <c r="H584" s="10"/>
      <c r="I584" s="62">
        <v>170.70480216000001</v>
      </c>
      <c r="J584" s="62">
        <v>113.01290143000001</v>
      </c>
      <c r="K584" s="62">
        <v>147.78610187000001</v>
      </c>
      <c r="L584" s="49">
        <v>2206.1068749023789</v>
      </c>
      <c r="M584" s="49">
        <v>2010.658148729568</v>
      </c>
      <c r="N584" s="49">
        <v>1866.8421182086247</v>
      </c>
      <c r="O584" s="61">
        <v>15.005878316324857</v>
      </c>
      <c r="P584" s="60"/>
      <c r="Q584" s="51" t="s">
        <v>1484</v>
      </c>
      <c r="R584" s="9">
        <v>21.484576259200001</v>
      </c>
      <c r="S584" s="69" t="s">
        <v>27</v>
      </c>
      <c r="T584" s="9">
        <v>10.181716097199999</v>
      </c>
      <c r="U584" s="69" t="s">
        <v>27</v>
      </c>
      <c r="V584" s="9">
        <v>15</v>
      </c>
      <c r="W584" s="289" t="s">
        <v>126</v>
      </c>
      <c r="X584" s="9">
        <v>93.180593166400001</v>
      </c>
      <c r="Y584" s="290" t="s">
        <v>302</v>
      </c>
      <c r="Z584" s="9">
        <v>27.029949136959999</v>
      </c>
      <c r="AA584" s="69" t="s">
        <v>27</v>
      </c>
      <c r="AB584" s="51" t="s">
        <v>302</v>
      </c>
      <c r="AC584" s="9">
        <v>19.101368882955295</v>
      </c>
      <c r="AD584" s="289" t="s">
        <v>27</v>
      </c>
      <c r="AE584" s="289" t="s">
        <v>126</v>
      </c>
      <c r="AF584" s="9">
        <v>18.073883434654025</v>
      </c>
      <c r="AG584" s="51" t="s">
        <v>1484</v>
      </c>
      <c r="AH584" s="51" t="s">
        <v>302</v>
      </c>
      <c r="AI584" s="9">
        <v>17.285205003832335</v>
      </c>
      <c r="AJ584" s="51" t="s">
        <v>1484</v>
      </c>
      <c r="AK584" s="289" t="s">
        <v>126</v>
      </c>
      <c r="AL584" s="9">
        <v>16.403583817445782</v>
      </c>
      <c r="AM584" s="69" t="s">
        <v>27</v>
      </c>
      <c r="AN584" s="54" t="s">
        <v>1511</v>
      </c>
      <c r="AO584" s="9">
        <v>15.519491517373133</v>
      </c>
      <c r="AP584" s="60"/>
      <c r="AQ584" s="51" t="s">
        <v>1484</v>
      </c>
      <c r="AR584" s="9">
        <v>16.977969482176</v>
      </c>
      <c r="AS584" s="69" t="s">
        <v>27</v>
      </c>
      <c r="AT584" s="9">
        <v>3.6629949136960005</v>
      </c>
      <c r="AU584" s="289" t="s">
        <v>27</v>
      </c>
      <c r="AV584" s="9">
        <v>4</v>
      </c>
      <c r="AW584" s="69" t="s">
        <v>126</v>
      </c>
      <c r="AX584" s="9">
        <v>120.83477111632001</v>
      </c>
      <c r="AY584" s="289" t="s">
        <v>126</v>
      </c>
      <c r="AZ584" s="9">
        <v>2.0139128519386671</v>
      </c>
      <c r="BA584" s="289" t="s">
        <v>27</v>
      </c>
      <c r="BB584" s="289" t="s">
        <v>126</v>
      </c>
      <c r="BC584" s="9">
        <v>10.986230926360001</v>
      </c>
      <c r="BD584" s="289" t="s">
        <v>27</v>
      </c>
      <c r="BE584" s="290" t="s">
        <v>302</v>
      </c>
      <c r="BF584" s="9">
        <v>10.510696120342859</v>
      </c>
      <c r="BG584" s="289" t="s">
        <v>27</v>
      </c>
      <c r="BH584" s="72" t="s">
        <v>33</v>
      </c>
      <c r="BI584" s="9">
        <v>9.7379520605650018</v>
      </c>
      <c r="BJ584" s="69" t="s">
        <v>27</v>
      </c>
      <c r="BK584" s="63" t="s">
        <v>1511</v>
      </c>
      <c r="BL584" s="9">
        <v>7.9419952878400002</v>
      </c>
      <c r="BM584" s="51" t="s">
        <v>1484</v>
      </c>
      <c r="BN584" s="289" t="s">
        <v>126</v>
      </c>
      <c r="BO584" s="9">
        <v>7.1839544519153558</v>
      </c>
    </row>
    <row r="585" spans="1:67" x14ac:dyDescent="0.45">
      <c r="A585" s="10">
        <v>597</v>
      </c>
      <c r="B585" s="10" t="s">
        <v>380</v>
      </c>
      <c r="C585" s="59" t="s">
        <v>2190</v>
      </c>
      <c r="D585" s="75" t="s">
        <v>1976</v>
      </c>
      <c r="E585" s="58" t="s">
        <v>1903</v>
      </c>
      <c r="F585" s="64" t="s">
        <v>2363</v>
      </c>
      <c r="G585" s="79" t="s">
        <v>1983</v>
      </c>
      <c r="H585" s="10"/>
      <c r="I585" s="62">
        <v>76.659100970000011</v>
      </c>
      <c r="J585" s="62">
        <v>134.35100170000001</v>
      </c>
      <c r="K585" s="62">
        <v>112.22260142</v>
      </c>
      <c r="L585" s="49">
        <v>941.29194443270319</v>
      </c>
      <c r="M585" s="49">
        <v>1101.3448066075039</v>
      </c>
      <c r="N585" s="49">
        <v>1248.7700699841103</v>
      </c>
      <c r="O585" s="61">
        <v>13.291493454461014</v>
      </c>
      <c r="P585" s="60"/>
      <c r="Q585" s="53" t="s">
        <v>56</v>
      </c>
      <c r="R585" s="9">
        <v>4.6796368465600002</v>
      </c>
      <c r="S585" s="53" t="s">
        <v>56</v>
      </c>
      <c r="T585" s="9">
        <v>6.6851954950857149</v>
      </c>
      <c r="U585" s="15" t="s">
        <v>2424</v>
      </c>
      <c r="V585" s="9">
        <v>10</v>
      </c>
      <c r="W585" s="59" t="s">
        <v>180</v>
      </c>
      <c r="X585" s="9">
        <v>46.995460582000007</v>
      </c>
      <c r="Y585" s="59" t="s">
        <v>180</v>
      </c>
      <c r="Z585" s="9">
        <v>17.405726141481484</v>
      </c>
      <c r="AA585" s="53" t="s">
        <v>56</v>
      </c>
      <c r="AB585" s="53" t="s">
        <v>184</v>
      </c>
      <c r="AC585" s="9">
        <v>8.988877365888202</v>
      </c>
      <c r="AD585" s="59" t="s">
        <v>56</v>
      </c>
      <c r="AE585" s="59" t="s">
        <v>180</v>
      </c>
      <c r="AF585" s="9">
        <v>8.878031309121214</v>
      </c>
      <c r="AG585" s="53" t="s">
        <v>56</v>
      </c>
      <c r="AH585" s="53" t="s">
        <v>194</v>
      </c>
      <c r="AI585" s="9">
        <v>8.5810055350636851</v>
      </c>
      <c r="AJ585" s="15" t="s">
        <v>127</v>
      </c>
      <c r="AK585" s="59" t="s">
        <v>184</v>
      </c>
      <c r="AL585" s="9">
        <v>8.3713118248840583</v>
      </c>
      <c r="AM585" s="15" t="s">
        <v>127</v>
      </c>
      <c r="AN585" s="53" t="s">
        <v>180</v>
      </c>
      <c r="AO585" s="9">
        <v>8.2933079580314981</v>
      </c>
      <c r="AP585" s="60"/>
      <c r="AQ585" s="53" t="s">
        <v>56</v>
      </c>
      <c r="AR585" s="9">
        <v>3.9897049378300005</v>
      </c>
      <c r="AS585" s="15" t="s">
        <v>127</v>
      </c>
      <c r="AT585" s="9">
        <v>2.4948524689150005</v>
      </c>
      <c r="AU585" s="59" t="s">
        <v>56</v>
      </c>
      <c r="AV585" s="9">
        <v>3</v>
      </c>
      <c r="AW585" s="53" t="s">
        <v>180</v>
      </c>
      <c r="AX585" s="9">
        <v>66.773508632260018</v>
      </c>
      <c r="AY585" s="59" t="s">
        <v>180</v>
      </c>
      <c r="AZ585" s="9">
        <v>1.0272847481886156</v>
      </c>
      <c r="BA585" s="59" t="s">
        <v>56</v>
      </c>
      <c r="BB585" s="59" t="s">
        <v>180</v>
      </c>
      <c r="BC585" s="9">
        <v>4.852734358474339</v>
      </c>
      <c r="BD585" s="64" t="s">
        <v>127</v>
      </c>
      <c r="BE585" s="59" t="s">
        <v>180</v>
      </c>
      <c r="BF585" s="9">
        <v>4.4136183245372402</v>
      </c>
      <c r="BG585" s="59" t="s">
        <v>56</v>
      </c>
      <c r="BH585" s="53" t="s">
        <v>184</v>
      </c>
      <c r="BI585" s="9">
        <v>4.3077402044266044</v>
      </c>
      <c r="BJ585" s="53" t="s">
        <v>56</v>
      </c>
      <c r="BK585" s="59" t="s">
        <v>194</v>
      </c>
      <c r="BL585" s="9">
        <v>4.2253489706466674</v>
      </c>
      <c r="BM585" s="15" t="s">
        <v>127</v>
      </c>
      <c r="BN585" s="59" t="s">
        <v>184</v>
      </c>
      <c r="BO585" s="9">
        <v>4.0471992635575011</v>
      </c>
    </row>
    <row r="586" spans="1:67" x14ac:dyDescent="0.45">
      <c r="A586" s="10">
        <v>598</v>
      </c>
      <c r="B586" s="10" t="s">
        <v>57</v>
      </c>
      <c r="C586" s="59" t="s">
        <v>2190</v>
      </c>
      <c r="D586" s="75" t="s">
        <v>1976</v>
      </c>
      <c r="E586" s="58" t="s">
        <v>1903</v>
      </c>
      <c r="F586" s="64" t="s">
        <v>2363</v>
      </c>
      <c r="G586" s="79" t="s">
        <v>1983</v>
      </c>
      <c r="H586" s="10"/>
      <c r="I586" s="62">
        <v>136.72190173000001</v>
      </c>
      <c r="J586" s="62">
        <v>188.09140238000001</v>
      </c>
      <c r="K586" s="62">
        <v>153.31820194000002</v>
      </c>
      <c r="L586" s="49">
        <v>2321.7712092354054</v>
      </c>
      <c r="M586" s="49">
        <v>2495.7466774324598</v>
      </c>
      <c r="N586" s="49">
        <v>2644.2673689432058</v>
      </c>
      <c r="O586" s="61">
        <v>24.272404930720246</v>
      </c>
      <c r="P586" s="60"/>
      <c r="Q586" s="72" t="s">
        <v>2449</v>
      </c>
      <c r="R586" s="9">
        <v>7.5626512830400001</v>
      </c>
      <c r="S586" s="53" t="s">
        <v>56</v>
      </c>
      <c r="T586" s="9">
        <v>10.803787547200001</v>
      </c>
      <c r="U586" s="72" t="s">
        <v>225</v>
      </c>
      <c r="V586" s="9">
        <v>12.727</v>
      </c>
      <c r="W586" s="59" t="s">
        <v>180</v>
      </c>
      <c r="X586" s="9">
        <v>83.033141038000011</v>
      </c>
      <c r="Y586" s="59" t="s">
        <v>180</v>
      </c>
      <c r="Z586" s="9">
        <v>30.753015199259263</v>
      </c>
      <c r="AA586" s="53" t="s">
        <v>56</v>
      </c>
      <c r="AB586" s="72" t="s">
        <v>1485</v>
      </c>
      <c r="AC586" s="9">
        <v>16.953784825026318</v>
      </c>
      <c r="AD586" s="79" t="s">
        <v>225</v>
      </c>
      <c r="AE586" s="79" t="s">
        <v>1485</v>
      </c>
      <c r="AF586" s="9">
        <v>15.599016862481399</v>
      </c>
      <c r="AG586" s="53" t="s">
        <v>56</v>
      </c>
      <c r="AH586" s="53" t="s">
        <v>180</v>
      </c>
      <c r="AI586" s="9">
        <v>14.884311385121213</v>
      </c>
      <c r="AJ586" s="53" t="s">
        <v>56</v>
      </c>
      <c r="AK586" s="290" t="s">
        <v>222</v>
      </c>
      <c r="AL586" s="9">
        <v>14.170598458186047</v>
      </c>
      <c r="AM586" s="53" t="s">
        <v>56</v>
      </c>
      <c r="AN586" s="53" t="s">
        <v>1780</v>
      </c>
      <c r="AO586" s="9">
        <v>13.609743431918606</v>
      </c>
      <c r="AP586" s="60"/>
      <c r="AQ586" s="72" t="s">
        <v>2449</v>
      </c>
      <c r="AR586" s="9">
        <v>6.3321541674700006</v>
      </c>
      <c r="AS586" s="53" t="s">
        <v>56</v>
      </c>
      <c r="AT586" s="9">
        <v>3.1660770837350003</v>
      </c>
      <c r="AU586" s="79" t="s">
        <v>225</v>
      </c>
      <c r="AV586" s="9">
        <v>3.6666666666666998</v>
      </c>
      <c r="AW586" s="53" t="s">
        <v>180</v>
      </c>
      <c r="AX586" s="9">
        <v>118.30739168434002</v>
      </c>
      <c r="AY586" s="79" t="s">
        <v>1485</v>
      </c>
      <c r="AZ586" s="9">
        <v>1.9395755002892003</v>
      </c>
      <c r="BA586" s="79" t="s">
        <v>225</v>
      </c>
      <c r="BB586" s="79" t="s">
        <v>1485</v>
      </c>
      <c r="BC586" s="9">
        <v>8.5923865436804974</v>
      </c>
      <c r="BD586" s="59" t="s">
        <v>56</v>
      </c>
      <c r="BE586" s="79" t="s">
        <v>1485</v>
      </c>
      <c r="BF586" s="9">
        <v>8.4762297967949056</v>
      </c>
      <c r="BG586" s="79" t="s">
        <v>225</v>
      </c>
      <c r="BH586" s="53" t="s">
        <v>180</v>
      </c>
      <c r="BI586" s="9">
        <v>8.3153948029771367</v>
      </c>
      <c r="BJ586" s="53" t="s">
        <v>56</v>
      </c>
      <c r="BK586" s="59" t="s">
        <v>180</v>
      </c>
      <c r="BL586" s="9">
        <v>8.2458409631734568</v>
      </c>
      <c r="BM586" s="53" t="s">
        <v>56</v>
      </c>
      <c r="BN586" s="290" t="s">
        <v>222</v>
      </c>
      <c r="BO586" s="9">
        <v>7.2947989428190487</v>
      </c>
    </row>
    <row r="587" spans="1:67" x14ac:dyDescent="0.45">
      <c r="A587" s="10">
        <v>599</v>
      </c>
      <c r="B587" s="10" t="s">
        <v>376</v>
      </c>
      <c r="C587" s="59" t="s">
        <v>1886</v>
      </c>
      <c r="D587" s="65"/>
      <c r="E587" s="58" t="s">
        <v>2343</v>
      </c>
      <c r="F587" s="64" t="s">
        <v>2344</v>
      </c>
      <c r="G587" s="63" t="s">
        <v>1971</v>
      </c>
      <c r="H587" s="10"/>
      <c r="I587" s="62">
        <v>89.30390113</v>
      </c>
      <c r="J587" s="62">
        <v>107.48080136</v>
      </c>
      <c r="K587" s="62">
        <v>106.69050135000001</v>
      </c>
      <c r="L587" s="49">
        <v>956.31013130096346</v>
      </c>
      <c r="M587" s="49">
        <v>1015.9789777109006</v>
      </c>
      <c r="N587" s="49">
        <v>1066.3836892492459</v>
      </c>
      <c r="O587" s="61">
        <v>10.354292885724362</v>
      </c>
      <c r="P587" s="60"/>
      <c r="Q587" s="51" t="s">
        <v>1484</v>
      </c>
      <c r="R587" s="9">
        <v>9.9303901129999996</v>
      </c>
      <c r="S587" s="51" t="s">
        <v>1484</v>
      </c>
      <c r="T587" s="9">
        <v>4.3175609186956523</v>
      </c>
      <c r="U587" s="51" t="s">
        <v>74</v>
      </c>
      <c r="V587" s="9">
        <v>13.635999999999999</v>
      </c>
      <c r="W587" s="290" t="s">
        <v>1483</v>
      </c>
      <c r="X587" s="9">
        <v>63.512730791000003</v>
      </c>
      <c r="Y587" s="290" t="s">
        <v>1483</v>
      </c>
      <c r="Z587" s="9">
        <v>17.165602916486485</v>
      </c>
      <c r="AA587" s="51" t="s">
        <v>74</v>
      </c>
      <c r="AB587" s="51" t="s">
        <v>1483</v>
      </c>
      <c r="AC587" s="9">
        <v>8.3787564129298246</v>
      </c>
      <c r="AD587" s="290" t="s">
        <v>74</v>
      </c>
      <c r="AE587" s="290" t="s">
        <v>302</v>
      </c>
      <c r="AF587" s="9">
        <v>8.127124308073034</v>
      </c>
      <c r="AG587" s="51" t="s">
        <v>1484</v>
      </c>
      <c r="AH587" s="51" t="s">
        <v>1483</v>
      </c>
      <c r="AI587" s="9">
        <v>8.0026582358914737</v>
      </c>
      <c r="AJ587" s="51" t="s">
        <v>1484</v>
      </c>
      <c r="AK587" s="290" t="s">
        <v>302</v>
      </c>
      <c r="AL587" s="9">
        <v>7.7720277876497015</v>
      </c>
      <c r="AM587" s="51" t="s">
        <v>74</v>
      </c>
      <c r="AN587" s="15" t="s">
        <v>213</v>
      </c>
      <c r="AO587" s="9">
        <v>6.166157677333759</v>
      </c>
      <c r="AP587" s="60"/>
      <c r="AQ587" s="51" t="s">
        <v>1484</v>
      </c>
      <c r="AR587" s="9">
        <v>7.9657042881400004</v>
      </c>
      <c r="AS587" s="51" t="s">
        <v>1484</v>
      </c>
      <c r="AT587" s="9">
        <v>1.5931408576280002</v>
      </c>
      <c r="AU587" s="290" t="s">
        <v>74</v>
      </c>
      <c r="AV587" s="9">
        <v>3.6666666666666998</v>
      </c>
      <c r="AW587" s="51" t="s">
        <v>1483</v>
      </c>
      <c r="AX587" s="9">
        <v>88.071303601750003</v>
      </c>
      <c r="AY587" s="290" t="s">
        <v>1483</v>
      </c>
      <c r="AZ587" s="9">
        <v>1.100891295021875</v>
      </c>
      <c r="BA587" s="290" t="s">
        <v>74</v>
      </c>
      <c r="BB587" s="290" t="s">
        <v>1483</v>
      </c>
      <c r="BC587" s="9">
        <v>5.1034839942519925</v>
      </c>
      <c r="BD587" s="290" t="s">
        <v>74</v>
      </c>
      <c r="BE587" s="290" t="s">
        <v>302</v>
      </c>
      <c r="BF587" s="9">
        <v>4.1208687390705476</v>
      </c>
      <c r="BG587" s="290" t="s">
        <v>1484</v>
      </c>
      <c r="BH587" s="51" t="s">
        <v>1483</v>
      </c>
      <c r="BI587" s="9">
        <v>3.7023643391919512</v>
      </c>
      <c r="BJ587" s="51" t="s">
        <v>74</v>
      </c>
      <c r="BK587" s="64" t="s">
        <v>213</v>
      </c>
      <c r="BL587" s="9">
        <v>3.2252231198534353</v>
      </c>
      <c r="BM587" s="51" t="s">
        <v>1484</v>
      </c>
      <c r="BN587" s="290" t="s">
        <v>302</v>
      </c>
      <c r="BO587" s="9">
        <v>3.1734709584704257</v>
      </c>
    </row>
    <row r="588" spans="1:67" x14ac:dyDescent="0.45">
      <c r="A588" s="10">
        <v>600</v>
      </c>
      <c r="B588" s="10" t="s">
        <v>373</v>
      </c>
      <c r="C588" s="59" t="s">
        <v>1886</v>
      </c>
      <c r="D588" s="65"/>
      <c r="E588" s="58" t="s">
        <v>2343</v>
      </c>
      <c r="F588" s="64" t="s">
        <v>2344</v>
      </c>
      <c r="G588" s="63" t="s">
        <v>1971</v>
      </c>
      <c r="H588" s="10"/>
      <c r="I588" s="62">
        <v>130.39950165000002</v>
      </c>
      <c r="J588" s="62">
        <v>149.36670189</v>
      </c>
      <c r="K588" s="62">
        <v>134.35100170000001</v>
      </c>
      <c r="L588" s="49">
        <v>1847.2398199388911</v>
      </c>
      <c r="M588" s="49">
        <v>1898.9509835783124</v>
      </c>
      <c r="N588" s="49">
        <v>1941.3602497379918</v>
      </c>
      <c r="O588" s="61">
        <v>17.459672345255875</v>
      </c>
      <c r="P588" s="60"/>
      <c r="Q588" s="51" t="s">
        <v>74</v>
      </c>
      <c r="R588" s="9">
        <v>6.2159800660000011</v>
      </c>
      <c r="S588" s="51" t="s">
        <v>115</v>
      </c>
      <c r="T588" s="9">
        <v>7.0999792354166669</v>
      </c>
      <c r="U588" s="51" t="s">
        <v>74</v>
      </c>
      <c r="V588" s="9">
        <v>13.635999999999999</v>
      </c>
      <c r="W588" s="290" t="s">
        <v>1483</v>
      </c>
      <c r="X588" s="9">
        <v>92.27965115500001</v>
      </c>
      <c r="Y588" s="290" t="s">
        <v>1483</v>
      </c>
      <c r="Z588" s="9">
        <v>24.940446258108111</v>
      </c>
      <c r="AA588" s="51" t="s">
        <v>115</v>
      </c>
      <c r="AB588" s="51" t="s">
        <v>1483</v>
      </c>
      <c r="AC588" s="9">
        <v>12.839955581847827</v>
      </c>
      <c r="AD588" s="290" t="s">
        <v>115</v>
      </c>
      <c r="AE588" s="290" t="s">
        <v>182</v>
      </c>
      <c r="AF588" s="9">
        <v>12.765555646850002</v>
      </c>
      <c r="AG588" s="51" t="s">
        <v>74</v>
      </c>
      <c r="AH588" s="51" t="s">
        <v>182</v>
      </c>
      <c r="AI588" s="9">
        <v>11.980497440000002</v>
      </c>
      <c r="AJ588" s="51" t="s">
        <v>74</v>
      </c>
      <c r="AK588" s="290" t="s">
        <v>1483</v>
      </c>
      <c r="AL588" s="9">
        <v>11.911536106754388</v>
      </c>
      <c r="AM588" s="51" t="s">
        <v>115</v>
      </c>
      <c r="AN588" s="15" t="s">
        <v>213</v>
      </c>
      <c r="AO588" s="9">
        <v>9.4476956539299248</v>
      </c>
      <c r="AP588" s="60"/>
      <c r="AQ588" s="51" t="s">
        <v>74</v>
      </c>
      <c r="AR588" s="9">
        <v>5.237983803625001</v>
      </c>
      <c r="AS588" s="51" t="s">
        <v>115</v>
      </c>
      <c r="AT588" s="9">
        <v>1.7713951410875002</v>
      </c>
      <c r="AU588" s="290" t="s">
        <v>115</v>
      </c>
      <c r="AV588" s="9">
        <v>4.5</v>
      </c>
      <c r="AW588" s="51" t="s">
        <v>1483</v>
      </c>
      <c r="AX588" s="9">
        <v>128.13951410875003</v>
      </c>
      <c r="AY588" s="290" t="s">
        <v>1483</v>
      </c>
      <c r="AZ588" s="9">
        <v>1.6017439263593753</v>
      </c>
      <c r="BA588" s="290" t="s">
        <v>115</v>
      </c>
      <c r="BB588" s="290" t="s">
        <v>1483</v>
      </c>
      <c r="BC588" s="9">
        <v>8.5010582813772206</v>
      </c>
      <c r="BD588" s="290" t="s">
        <v>115</v>
      </c>
      <c r="BE588" s="290" t="s">
        <v>182</v>
      </c>
      <c r="BF588" s="9">
        <v>7.4824104345115563</v>
      </c>
      <c r="BG588" s="290" t="s">
        <v>74</v>
      </c>
      <c r="BH588" s="51" t="s">
        <v>1483</v>
      </c>
      <c r="BI588" s="9">
        <v>7.2851528266384484</v>
      </c>
      <c r="BJ588" s="51" t="s">
        <v>74</v>
      </c>
      <c r="BK588" s="290" t="s">
        <v>182</v>
      </c>
      <c r="BL588" s="9">
        <v>6.4671017177109391</v>
      </c>
      <c r="BM588" s="51" t="s">
        <v>115</v>
      </c>
      <c r="BN588" s="64" t="s">
        <v>213</v>
      </c>
      <c r="BO588" s="9">
        <v>5.1218701702022482</v>
      </c>
    </row>
    <row r="589" spans="1:67" x14ac:dyDescent="0.45">
      <c r="A589" s="10">
        <v>601</v>
      </c>
      <c r="B589" s="10" t="s">
        <v>371</v>
      </c>
      <c r="C589" s="59" t="s">
        <v>1886</v>
      </c>
      <c r="D589" s="65"/>
      <c r="E589" s="58" t="s">
        <v>2343</v>
      </c>
      <c r="F589" s="64" t="s">
        <v>2344</v>
      </c>
      <c r="G589" s="63" t="s">
        <v>1971</v>
      </c>
      <c r="H589" s="10"/>
      <c r="I589" s="62">
        <v>169.12420214000002</v>
      </c>
      <c r="J589" s="62">
        <v>180.97870229</v>
      </c>
      <c r="K589" s="62">
        <v>134.35100170000001</v>
      </c>
      <c r="L589" s="49">
        <v>2637.1810725020323</v>
      </c>
      <c r="M589" s="49">
        <v>2566.7452061938498</v>
      </c>
      <c r="N589" s="49">
        <v>2511.7534484349399</v>
      </c>
      <c r="O589" s="61">
        <v>20.588576146106401</v>
      </c>
      <c r="P589" s="60"/>
      <c r="Q589" s="51" t="s">
        <v>74</v>
      </c>
      <c r="R589" s="9">
        <v>7.7649680856000005</v>
      </c>
      <c r="S589" s="51" t="s">
        <v>115</v>
      </c>
      <c r="T589" s="9">
        <v>8.7135084225000003</v>
      </c>
      <c r="U589" s="51" t="s">
        <v>74</v>
      </c>
      <c r="V589" s="9">
        <v>13.635999999999999</v>
      </c>
      <c r="W589" s="64" t="s">
        <v>112</v>
      </c>
      <c r="X589" s="9">
        <v>127.84315160500002</v>
      </c>
      <c r="Y589" s="59" t="s">
        <v>180</v>
      </c>
      <c r="Z589" s="9">
        <v>37.953526401481483</v>
      </c>
      <c r="AA589" s="51" t="s">
        <v>115</v>
      </c>
      <c r="AB589" s="15" t="s">
        <v>112</v>
      </c>
      <c r="AC589" s="9">
        <v>16.880044594870693</v>
      </c>
      <c r="AD589" s="290" t="s">
        <v>115</v>
      </c>
      <c r="AE589" s="290" t="s">
        <v>1483</v>
      </c>
      <c r="AF589" s="9">
        <v>16.291504973347827</v>
      </c>
      <c r="AG589" s="51" t="s">
        <v>115</v>
      </c>
      <c r="AH589" s="53" t="s">
        <v>180</v>
      </c>
      <c r="AI589" s="9">
        <v>16.232370188523809</v>
      </c>
      <c r="AJ589" s="51" t="s">
        <v>74</v>
      </c>
      <c r="AK589" s="64" t="s">
        <v>112</v>
      </c>
      <c r="AL589" s="9">
        <v>15.843298104713046</v>
      </c>
      <c r="AM589" s="51" t="s">
        <v>74</v>
      </c>
      <c r="AN589" s="51" t="s">
        <v>1483</v>
      </c>
      <c r="AO589" s="9">
        <v>15.240501587473686</v>
      </c>
      <c r="AP589" s="60"/>
      <c r="AQ589" s="51" t="s">
        <v>74</v>
      </c>
      <c r="AR589" s="9">
        <v>6.4965365695500008</v>
      </c>
      <c r="AS589" s="51" t="s">
        <v>74</v>
      </c>
      <c r="AT589" s="9">
        <v>2.1655121898500003</v>
      </c>
      <c r="AU589" s="290" t="s">
        <v>115</v>
      </c>
      <c r="AV589" s="9">
        <v>4.5</v>
      </c>
      <c r="AW589" s="51" t="s">
        <v>2523</v>
      </c>
      <c r="AX589" s="9">
        <v>165.89609708650002</v>
      </c>
      <c r="AY589" s="59" t="s">
        <v>180</v>
      </c>
      <c r="AZ589" s="9">
        <v>2.2478240836326155</v>
      </c>
      <c r="BA589" s="290" t="s">
        <v>115</v>
      </c>
      <c r="BB589" s="59" t="s">
        <v>180</v>
      </c>
      <c r="BC589" s="9">
        <v>11.470086439838347</v>
      </c>
      <c r="BD589" s="290" t="s">
        <v>115</v>
      </c>
      <c r="BE589" s="290" t="s">
        <v>1483</v>
      </c>
      <c r="BF589" s="9">
        <v>10.869222657496451</v>
      </c>
      <c r="BG589" s="290" t="s">
        <v>115</v>
      </c>
      <c r="BH589" s="15" t="s">
        <v>112</v>
      </c>
      <c r="BI589" s="9">
        <v>10.869222657496451</v>
      </c>
      <c r="BJ589" s="51" t="s">
        <v>74</v>
      </c>
      <c r="BK589" s="59" t="s">
        <v>180</v>
      </c>
      <c r="BL589" s="9">
        <v>9.8517917321265553</v>
      </c>
      <c r="BM589" s="51" t="s">
        <v>74</v>
      </c>
      <c r="BN589" s="290" t="s">
        <v>1483</v>
      </c>
      <c r="BO589" s="9">
        <v>9.3409561494641444</v>
      </c>
    </row>
    <row r="590" spans="1:67" x14ac:dyDescent="0.45">
      <c r="A590" s="10">
        <v>607</v>
      </c>
      <c r="B590" s="10" t="s">
        <v>369</v>
      </c>
      <c r="C590" s="77" t="s">
        <v>2131</v>
      </c>
      <c r="D590" s="65"/>
      <c r="E590" s="80" t="s">
        <v>2259</v>
      </c>
      <c r="F590" s="63" t="s">
        <v>2260</v>
      </c>
      <c r="G590" s="64" t="s">
        <v>2261</v>
      </c>
      <c r="H590" s="10"/>
      <c r="I590" s="62">
        <v>97.20690123</v>
      </c>
      <c r="J590" s="62">
        <v>89.30390113</v>
      </c>
      <c r="K590" s="62">
        <v>120.12560152</v>
      </c>
      <c r="L590" s="49">
        <v>1006.8159847491364</v>
      </c>
      <c r="M590" s="49">
        <v>1028.3368609200263</v>
      </c>
      <c r="N590" s="49">
        <v>1045.8843020018273</v>
      </c>
      <c r="O590" s="61">
        <v>9.8482019849514817</v>
      </c>
      <c r="P590" s="60"/>
      <c r="Q590" s="70" t="s">
        <v>138</v>
      </c>
      <c r="R590" s="9">
        <v>6.8324140737999999</v>
      </c>
      <c r="S590" s="70" t="s">
        <v>138</v>
      </c>
      <c r="T590" s="9">
        <v>6.8324140737999999</v>
      </c>
      <c r="U590" s="68" t="s">
        <v>277</v>
      </c>
      <c r="V590" s="9">
        <v>12.727</v>
      </c>
      <c r="W590" s="75" t="s">
        <v>270</v>
      </c>
      <c r="X590" s="9">
        <v>56.407933701099999</v>
      </c>
      <c r="Y590" s="75" t="s">
        <v>270</v>
      </c>
      <c r="Z590" s="9">
        <v>18.802644567033333</v>
      </c>
      <c r="AA590" s="70" t="s">
        <v>138</v>
      </c>
      <c r="AB590" s="70" t="s">
        <v>280</v>
      </c>
      <c r="AC590" s="9">
        <v>9.998548537578948</v>
      </c>
      <c r="AD590" s="75" t="s">
        <v>138</v>
      </c>
      <c r="AE590" s="75" t="s">
        <v>270</v>
      </c>
      <c r="AF590" s="9">
        <v>9.594774956853847</v>
      </c>
      <c r="AG590" s="68" t="s">
        <v>277</v>
      </c>
      <c r="AH590" s="70" t="s">
        <v>280</v>
      </c>
      <c r="AI590" s="9">
        <v>9.5062707022363213</v>
      </c>
      <c r="AJ590" s="70" t="s">
        <v>138</v>
      </c>
      <c r="AK590" s="75" t="s">
        <v>1482</v>
      </c>
      <c r="AL590" s="9">
        <v>9.0563007611121495</v>
      </c>
      <c r="AM590" s="68" t="s">
        <v>277</v>
      </c>
      <c r="AN590" s="70" t="s">
        <v>270</v>
      </c>
      <c r="AO590" s="9">
        <v>8.6216426926627108</v>
      </c>
      <c r="AP590" s="60"/>
      <c r="AQ590" s="70" t="s">
        <v>138</v>
      </c>
      <c r="AR590" s="9">
        <v>5.5492829775640002</v>
      </c>
      <c r="AS590" s="70" t="s">
        <v>138</v>
      </c>
      <c r="AT590" s="9">
        <v>2.7746414887820001</v>
      </c>
      <c r="AU590" s="77" t="s">
        <v>2524</v>
      </c>
      <c r="AV590" s="9">
        <v>3</v>
      </c>
      <c r="AW590" s="70" t="s">
        <v>270</v>
      </c>
      <c r="AX590" s="9">
        <v>73.030313811430005</v>
      </c>
      <c r="AY590" s="75" t="s">
        <v>1482</v>
      </c>
      <c r="AZ590" s="9">
        <v>1.0814993614316</v>
      </c>
      <c r="BA590" s="75" t="s">
        <v>138</v>
      </c>
      <c r="BB590" s="75" t="s">
        <v>1482</v>
      </c>
      <c r="BC590" s="9">
        <v>5.6784335595064146</v>
      </c>
      <c r="BD590" s="75" t="s">
        <v>138</v>
      </c>
      <c r="BE590" s="75" t="s">
        <v>270</v>
      </c>
      <c r="BF590" s="9">
        <v>5.4767827319607694</v>
      </c>
      <c r="BG590" s="75" t="s">
        <v>138</v>
      </c>
      <c r="BH590" s="70" t="s">
        <v>280</v>
      </c>
      <c r="BI590" s="9">
        <v>5.4281066568577589</v>
      </c>
      <c r="BJ590" s="68" t="s">
        <v>277</v>
      </c>
      <c r="BK590" s="75" t="s">
        <v>1482</v>
      </c>
      <c r="BL590" s="9">
        <v>4.5674727675642774</v>
      </c>
      <c r="BM590" s="68" t="s">
        <v>277</v>
      </c>
      <c r="BN590" s="75" t="s">
        <v>270</v>
      </c>
      <c r="BO590" s="9">
        <v>4.3444573094043593</v>
      </c>
    </row>
    <row r="591" spans="1:67" x14ac:dyDescent="0.45">
      <c r="A591" s="10">
        <v>608</v>
      </c>
      <c r="B591" s="10" t="s">
        <v>367</v>
      </c>
      <c r="C591" s="77" t="s">
        <v>2131</v>
      </c>
      <c r="D591" s="65"/>
      <c r="E591" s="80" t="s">
        <v>2259</v>
      </c>
      <c r="F591" s="63" t="s">
        <v>2260</v>
      </c>
      <c r="G591" s="64" t="s">
        <v>2261</v>
      </c>
      <c r="H591" s="10"/>
      <c r="I591" s="62">
        <v>145.41520184000001</v>
      </c>
      <c r="J591" s="62">
        <v>102.73900130000001</v>
      </c>
      <c r="K591" s="62">
        <v>134.35100170000001</v>
      </c>
      <c r="L591" s="49">
        <v>1708.4329334260844</v>
      </c>
      <c r="M591" s="49">
        <v>1591.1973225014299</v>
      </c>
      <c r="N591" s="49">
        <v>1503.2282299392759</v>
      </c>
      <c r="O591" s="61">
        <v>12.517094001427703</v>
      </c>
      <c r="P591" s="60"/>
      <c r="Q591" s="70" t="s">
        <v>138</v>
      </c>
      <c r="R591" s="9">
        <v>9.7249121104</v>
      </c>
      <c r="S591" s="70" t="s">
        <v>138</v>
      </c>
      <c r="T591" s="9">
        <v>9.7249121104</v>
      </c>
      <c r="U591" s="68" t="s">
        <v>277</v>
      </c>
      <c r="V591" s="9">
        <v>12.727</v>
      </c>
      <c r="W591" s="75" t="s">
        <v>270</v>
      </c>
      <c r="X591" s="9">
        <v>83.886665048799998</v>
      </c>
      <c r="Y591" s="75" t="s">
        <v>270</v>
      </c>
      <c r="Z591" s="9">
        <v>27.962221682933333</v>
      </c>
      <c r="AA591" s="70" t="s">
        <v>138</v>
      </c>
      <c r="AB591" s="70" t="s">
        <v>280</v>
      </c>
      <c r="AC591" s="9">
        <v>14.565650700631581</v>
      </c>
      <c r="AD591" s="75" t="s">
        <v>138</v>
      </c>
      <c r="AE591" s="75" t="s">
        <v>270</v>
      </c>
      <c r="AF591" s="9">
        <v>13.933522011753846</v>
      </c>
      <c r="AG591" s="68" t="s">
        <v>277</v>
      </c>
      <c r="AH591" s="70" t="s">
        <v>280</v>
      </c>
      <c r="AI591" s="9">
        <v>13.873499685286651</v>
      </c>
      <c r="AJ591" s="70" t="s">
        <v>138</v>
      </c>
      <c r="AK591" s="79" t="s">
        <v>33</v>
      </c>
      <c r="AL591" s="9">
        <v>12.928247346067415</v>
      </c>
      <c r="AM591" s="68" t="s">
        <v>277</v>
      </c>
      <c r="AN591" s="70" t="s">
        <v>270</v>
      </c>
      <c r="AO591" s="9">
        <v>12.519161233505084</v>
      </c>
      <c r="AP591" s="60"/>
      <c r="AQ591" s="70" t="s">
        <v>138</v>
      </c>
      <c r="AR591" s="9">
        <v>7.8054314461120002</v>
      </c>
      <c r="AS591" s="70" t="s">
        <v>138</v>
      </c>
      <c r="AT591" s="9">
        <v>3.9027157230560001</v>
      </c>
      <c r="AU591" s="77" t="s">
        <v>2524</v>
      </c>
      <c r="AV591" s="9">
        <v>3</v>
      </c>
      <c r="AW591" s="70" t="s">
        <v>270</v>
      </c>
      <c r="AX591" s="9">
        <v>108.75266456344001</v>
      </c>
      <c r="AY591" s="75" t="s">
        <v>280</v>
      </c>
      <c r="AZ591" s="9">
        <v>1.4617581855389092</v>
      </c>
      <c r="BA591" s="75" t="s">
        <v>138</v>
      </c>
      <c r="BB591" s="75" t="s">
        <v>270</v>
      </c>
      <c r="BC591" s="9">
        <v>7.9354060630707703</v>
      </c>
      <c r="BD591" s="75" t="s">
        <v>138</v>
      </c>
      <c r="BE591" s="75" t="s">
        <v>280</v>
      </c>
      <c r="BF591" s="9">
        <v>7.8593011272758631</v>
      </c>
      <c r="BG591" s="75" t="s">
        <v>138</v>
      </c>
      <c r="BH591" s="72" t="s">
        <v>33</v>
      </c>
      <c r="BI591" s="9">
        <v>7.8153432160723817</v>
      </c>
      <c r="BJ591" s="68" t="s">
        <v>277</v>
      </c>
      <c r="BK591" s="75" t="s">
        <v>270</v>
      </c>
      <c r="BL591" s="9">
        <v>6.3209976344143595</v>
      </c>
      <c r="BM591" s="68" t="s">
        <v>277</v>
      </c>
      <c r="BN591" s="75" t="s">
        <v>280</v>
      </c>
      <c r="BO591" s="9">
        <v>6.2671604010836788</v>
      </c>
    </row>
    <row r="592" spans="1:67" x14ac:dyDescent="0.45">
      <c r="A592" s="10">
        <v>609</v>
      </c>
      <c r="B592" s="10" t="s">
        <v>364</v>
      </c>
      <c r="C592" s="77" t="s">
        <v>2131</v>
      </c>
      <c r="D592" s="65"/>
      <c r="E592" s="80" t="s">
        <v>2259</v>
      </c>
      <c r="F592" s="63" t="s">
        <v>2260</v>
      </c>
      <c r="G592" s="64" t="s">
        <v>2261</v>
      </c>
      <c r="H592" s="10"/>
      <c r="I592" s="62">
        <v>226.02580286000003</v>
      </c>
      <c r="J592" s="62">
        <v>155.68910197000002</v>
      </c>
      <c r="K592" s="62">
        <v>134.35100170000001</v>
      </c>
      <c r="L592" s="49">
        <v>3268.9447601206675</v>
      </c>
      <c r="M592" s="49">
        <v>2816.8999925456928</v>
      </c>
      <c r="N592" s="49">
        <v>2500.7052516388576</v>
      </c>
      <c r="O592" s="61">
        <v>18.099146879370611</v>
      </c>
      <c r="P592" s="60"/>
      <c r="Q592" s="70" t="s">
        <v>36</v>
      </c>
      <c r="R592" s="9">
        <v>19.986167440240003</v>
      </c>
      <c r="S592" s="70" t="s">
        <v>36</v>
      </c>
      <c r="T592" s="9">
        <v>18.169243127490908</v>
      </c>
      <c r="U592" s="68" t="s">
        <v>70</v>
      </c>
      <c r="V592" s="9">
        <v>12.5</v>
      </c>
      <c r="W592" s="75" t="s">
        <v>48</v>
      </c>
      <c r="X592" s="9">
        <v>217.98477074560003</v>
      </c>
      <c r="Y592" s="75" t="s">
        <v>48</v>
      </c>
      <c r="Z592" s="9">
        <v>54.496192686400008</v>
      </c>
      <c r="AA592" s="70" t="s">
        <v>36</v>
      </c>
      <c r="AB592" s="70" t="s">
        <v>48</v>
      </c>
      <c r="AC592" s="9">
        <v>27.856429676533335</v>
      </c>
      <c r="AD592" s="75" t="s">
        <v>36</v>
      </c>
      <c r="AE592" s="77" t="s">
        <v>73</v>
      </c>
      <c r="AF592" s="9">
        <v>27.828978696141178</v>
      </c>
      <c r="AG592" s="68" t="s">
        <v>70</v>
      </c>
      <c r="AH592" s="68" t="s">
        <v>73</v>
      </c>
      <c r="AI592" s="9">
        <v>26.450567945904766</v>
      </c>
      <c r="AJ592" s="68" t="s">
        <v>70</v>
      </c>
      <c r="AK592" s="75" t="s">
        <v>48</v>
      </c>
      <c r="AL592" s="9">
        <v>25.799645802161294</v>
      </c>
      <c r="AM592" s="70" t="s">
        <v>36</v>
      </c>
      <c r="AN592" s="72" t="s">
        <v>33</v>
      </c>
      <c r="AO592" s="9">
        <v>21.557707285978726</v>
      </c>
      <c r="AP592" s="60"/>
      <c r="AQ592" s="70" t="s">
        <v>36</v>
      </c>
      <c r="AR592" s="9">
        <v>16.867011360772004</v>
      </c>
      <c r="AS592" s="70" t="s">
        <v>36</v>
      </c>
      <c r="AT592" s="9">
        <v>5.6223371202573347</v>
      </c>
      <c r="AU592" s="77" t="s">
        <v>70</v>
      </c>
      <c r="AV592" s="9">
        <v>3.6666666666666998</v>
      </c>
      <c r="AW592" s="70" t="s">
        <v>48</v>
      </c>
      <c r="AX592" s="9">
        <v>230.19016410004002</v>
      </c>
      <c r="AY592" s="75" t="s">
        <v>48</v>
      </c>
      <c r="AZ592" s="9">
        <v>4.1852757109098189</v>
      </c>
      <c r="BA592" s="75" t="s">
        <v>36</v>
      </c>
      <c r="BB592" s="75" t="s">
        <v>48</v>
      </c>
      <c r="BC592" s="9">
        <v>18.45478437624492</v>
      </c>
      <c r="BD592" s="77" t="s">
        <v>70</v>
      </c>
      <c r="BE592" s="75" t="s">
        <v>48</v>
      </c>
      <c r="BF592" s="9">
        <v>18.005012623080002</v>
      </c>
      <c r="BG592" s="75" t="s">
        <v>36</v>
      </c>
      <c r="BH592" s="68" t="s">
        <v>73</v>
      </c>
      <c r="BI592" s="9">
        <v>15.432496498002632</v>
      </c>
      <c r="BJ592" s="68" t="s">
        <v>70</v>
      </c>
      <c r="BK592" s="77" t="s">
        <v>73</v>
      </c>
      <c r="BL592" s="9">
        <v>14.699385256252503</v>
      </c>
      <c r="BM592" s="70" t="s">
        <v>36</v>
      </c>
      <c r="BN592" s="79" t="s">
        <v>33</v>
      </c>
      <c r="BO592" s="9">
        <v>12.338271728301686</v>
      </c>
    </row>
    <row r="593" spans="1:67" x14ac:dyDescent="0.45">
      <c r="A593" s="10">
        <v>610</v>
      </c>
      <c r="B593" s="10" t="s">
        <v>3175</v>
      </c>
      <c r="C593" s="78" t="s">
        <v>1893</v>
      </c>
      <c r="D593" s="65"/>
      <c r="E593" s="291" t="s">
        <v>2278</v>
      </c>
      <c r="F593" s="75" t="s">
        <v>2279</v>
      </c>
      <c r="G593" s="242"/>
      <c r="H593" s="10"/>
      <c r="I593" s="62">
        <v>133.56070169</v>
      </c>
      <c r="J593" s="62">
        <v>91.674801160000001</v>
      </c>
      <c r="K593" s="62">
        <v>114.59350145000001</v>
      </c>
      <c r="L593" s="49">
        <v>1368.9376724485087</v>
      </c>
      <c r="M593" s="49">
        <v>1253.3117335993986</v>
      </c>
      <c r="N593" s="49">
        <v>1167.8833041440353</v>
      </c>
      <c r="O593" s="61">
        <v>9.6231372644070223</v>
      </c>
      <c r="P593" s="60"/>
      <c r="Q593" s="53" t="s">
        <v>1</v>
      </c>
      <c r="R593" s="9">
        <v>11.017052626750001</v>
      </c>
      <c r="S593" s="53" t="s">
        <v>1</v>
      </c>
      <c r="T593" s="9">
        <v>10.015502387954545</v>
      </c>
      <c r="U593" s="15" t="s">
        <v>1489</v>
      </c>
      <c r="V593" s="9">
        <v>8</v>
      </c>
      <c r="W593" s="78" t="s">
        <v>253</v>
      </c>
      <c r="X593" s="9">
        <v>73.122778912599998</v>
      </c>
      <c r="Y593" s="78" t="s">
        <v>262</v>
      </c>
      <c r="Z593" s="9">
        <v>24.157770886470587</v>
      </c>
      <c r="AA593" s="15" t="s">
        <v>1489</v>
      </c>
      <c r="AB593" s="66" t="s">
        <v>262</v>
      </c>
      <c r="AC593" s="9">
        <v>14.112224874346591</v>
      </c>
      <c r="AD593" s="64" t="s">
        <v>1489</v>
      </c>
      <c r="AE593" s="78" t="s">
        <v>253</v>
      </c>
      <c r="AF593" s="9">
        <v>13.777466197598985</v>
      </c>
      <c r="AG593" s="53" t="s">
        <v>1</v>
      </c>
      <c r="AH593" s="66" t="s">
        <v>262</v>
      </c>
      <c r="AI593" s="9">
        <v>13.4806978951407</v>
      </c>
      <c r="AJ593" s="53" t="s">
        <v>1</v>
      </c>
      <c r="AK593" s="78" t="s">
        <v>253</v>
      </c>
      <c r="AL593" s="9">
        <v>13.250774111293017</v>
      </c>
      <c r="AM593" s="15" t="s">
        <v>1489</v>
      </c>
      <c r="AN593" s="73" t="s">
        <v>306</v>
      </c>
      <c r="AO593" s="9">
        <v>12.546211677747255</v>
      </c>
      <c r="AP593" s="60"/>
      <c r="AQ593" s="53" t="s">
        <v>1</v>
      </c>
      <c r="AR593" s="9">
        <v>8.8133010488650001</v>
      </c>
      <c r="AS593" s="15" t="s">
        <v>1489</v>
      </c>
      <c r="AT593" s="9">
        <v>4.4725782439400001</v>
      </c>
      <c r="AU593" s="59" t="s">
        <v>3467</v>
      </c>
      <c r="AV593" s="9">
        <v>2</v>
      </c>
      <c r="AW593" s="66" t="s">
        <v>253</v>
      </c>
      <c r="AX593" s="9">
        <v>94.759612586380001</v>
      </c>
      <c r="AY593" s="78" t="s">
        <v>253</v>
      </c>
      <c r="AZ593" s="9">
        <v>1.5793268764396666</v>
      </c>
      <c r="BA593" s="64" t="s">
        <v>1489</v>
      </c>
      <c r="BB593" s="78" t="s">
        <v>253</v>
      </c>
      <c r="BC593" s="9">
        <v>7.3850632227283866</v>
      </c>
      <c r="BD593" s="64" t="s">
        <v>1489</v>
      </c>
      <c r="BE593" s="78" t="s">
        <v>262</v>
      </c>
      <c r="BF593" s="9">
        <v>7.1004752934081088</v>
      </c>
      <c r="BG593" s="64" t="s">
        <v>1489</v>
      </c>
      <c r="BH593" s="73" t="s">
        <v>306</v>
      </c>
      <c r="BI593" s="9">
        <v>6.631207963145946</v>
      </c>
      <c r="BJ593" s="53" t="s">
        <v>1</v>
      </c>
      <c r="BK593" s="78" t="s">
        <v>253</v>
      </c>
      <c r="BL593" s="9">
        <v>5.8997620346783872</v>
      </c>
      <c r="BM593" s="53" t="s">
        <v>1</v>
      </c>
      <c r="BN593" s="78" t="s">
        <v>262</v>
      </c>
      <c r="BO593" s="9">
        <v>5.6486268348186943</v>
      </c>
    </row>
    <row r="594" spans="1:67" x14ac:dyDescent="0.45">
      <c r="A594" s="10">
        <v>611</v>
      </c>
      <c r="B594" s="10" t="s">
        <v>3176</v>
      </c>
      <c r="C594" s="78" t="s">
        <v>1893</v>
      </c>
      <c r="D594" s="65"/>
      <c r="E594" s="291" t="s">
        <v>2278</v>
      </c>
      <c r="F594" s="75" t="s">
        <v>2279</v>
      </c>
      <c r="G594" s="242"/>
      <c r="H594" s="10"/>
      <c r="I594" s="62">
        <v>179.39810227000001</v>
      </c>
      <c r="J594" s="62">
        <v>109.06140138000001</v>
      </c>
      <c r="K594" s="62">
        <v>142.2540018</v>
      </c>
      <c r="L594" s="49">
        <v>2234.527108899435</v>
      </c>
      <c r="M594" s="49">
        <v>1978.6498235569761</v>
      </c>
      <c r="N594" s="49">
        <v>1795.2113731172201</v>
      </c>
      <c r="O594" s="61">
        <v>13.988784362088989</v>
      </c>
      <c r="P594" s="60"/>
      <c r="Q594" s="66" t="s">
        <v>88</v>
      </c>
      <c r="R594" s="9">
        <v>17.1458292043</v>
      </c>
      <c r="S594" s="66" t="s">
        <v>88</v>
      </c>
      <c r="T594" s="9">
        <v>15.587117458454545</v>
      </c>
      <c r="U594" s="66" t="s">
        <v>88</v>
      </c>
      <c r="V594" s="9">
        <v>8.1820000000000004</v>
      </c>
      <c r="W594" s="78" t="s">
        <v>262</v>
      </c>
      <c r="X594" s="9">
        <v>54.819430681</v>
      </c>
      <c r="Y594" s="78" t="s">
        <v>262</v>
      </c>
      <c r="Z594" s="9">
        <v>32.246723930000002</v>
      </c>
      <c r="AA594" s="66" t="s">
        <v>88</v>
      </c>
      <c r="AB594" s="66" t="s">
        <v>262</v>
      </c>
      <c r="AC594" s="9">
        <v>20.492030460660679</v>
      </c>
      <c r="AD594" s="78" t="s">
        <v>88</v>
      </c>
      <c r="AE594" s="288" t="s">
        <v>306</v>
      </c>
      <c r="AF594" s="9">
        <v>18.304526415080595</v>
      </c>
      <c r="AG594" s="53" t="s">
        <v>1</v>
      </c>
      <c r="AH594" s="66" t="s">
        <v>262</v>
      </c>
      <c r="AI594" s="9">
        <v>17.822194998805763</v>
      </c>
      <c r="AJ594" s="66" t="s">
        <v>88</v>
      </c>
      <c r="AK594" s="76" t="s">
        <v>1491</v>
      </c>
      <c r="AL594" s="9">
        <v>17.429280464890788</v>
      </c>
      <c r="AM594" s="53" t="s">
        <v>1</v>
      </c>
      <c r="AN594" s="73" t="s">
        <v>306</v>
      </c>
      <c r="AO594" s="9">
        <v>16.066216170396931</v>
      </c>
      <c r="AP594" s="60"/>
      <c r="AQ594" s="66" t="s">
        <v>88</v>
      </c>
      <c r="AR594" s="9">
        <v>13.593746779354001</v>
      </c>
      <c r="AS594" s="66" t="s">
        <v>88</v>
      </c>
      <c r="AT594" s="9">
        <v>4.531248926451334</v>
      </c>
      <c r="AU594" s="78" t="s">
        <v>88</v>
      </c>
      <c r="AV594" s="9">
        <v>3.3333333333333002</v>
      </c>
      <c r="AW594" s="66" t="s">
        <v>262</v>
      </c>
      <c r="AX594" s="9">
        <v>70.9652598853</v>
      </c>
      <c r="AY594" s="78" t="s">
        <v>262</v>
      </c>
      <c r="AZ594" s="9">
        <v>2.0275788538657142</v>
      </c>
      <c r="BA594" s="78" t="s">
        <v>88</v>
      </c>
      <c r="BB594" s="78" t="s">
        <v>262</v>
      </c>
      <c r="BC594" s="9">
        <v>10.308119444612087</v>
      </c>
      <c r="BD594" s="78" t="s">
        <v>88</v>
      </c>
      <c r="BE594" s="288" t="s">
        <v>306</v>
      </c>
      <c r="BF594" s="9">
        <v>9.2941301709120872</v>
      </c>
      <c r="BG594" s="78" t="s">
        <v>88</v>
      </c>
      <c r="BH594" s="67" t="s">
        <v>1491</v>
      </c>
      <c r="BI594" s="9">
        <v>9.2941301709120872</v>
      </c>
      <c r="BJ594" s="53" t="s">
        <v>1</v>
      </c>
      <c r="BK594" s="78" t="s">
        <v>262</v>
      </c>
      <c r="BL594" s="9">
        <v>7.4604430063930174</v>
      </c>
      <c r="BM594" s="53" t="s">
        <v>1</v>
      </c>
      <c r="BN594" s="288" t="s">
        <v>306</v>
      </c>
      <c r="BO594" s="9">
        <v>6.8301253497686938</v>
      </c>
    </row>
    <row r="595" spans="1:67" x14ac:dyDescent="0.45">
      <c r="A595" s="10">
        <v>612</v>
      </c>
      <c r="B595" s="10" t="s">
        <v>3177</v>
      </c>
      <c r="C595" s="78" t="s">
        <v>1893</v>
      </c>
      <c r="D595" s="65"/>
      <c r="E595" s="291" t="s">
        <v>2278</v>
      </c>
      <c r="F595" s="75" t="s">
        <v>2279</v>
      </c>
      <c r="G595" s="242"/>
      <c r="H595" s="10"/>
      <c r="I595" s="62">
        <v>236.29970299000001</v>
      </c>
      <c r="J595" s="62">
        <v>147.78610187000001</v>
      </c>
      <c r="K595" s="62">
        <v>156.47940198000001</v>
      </c>
      <c r="L595" s="49">
        <v>3593.4248068967195</v>
      </c>
      <c r="M595" s="49">
        <v>3102.4345740886261</v>
      </c>
      <c r="N595" s="49">
        <v>2758.4040871148841</v>
      </c>
      <c r="O595" s="61">
        <v>20.147901080084861</v>
      </c>
      <c r="P595" s="60"/>
      <c r="Q595" s="66" t="s">
        <v>88</v>
      </c>
      <c r="R595" s="9">
        <v>22.266973269099999</v>
      </c>
      <c r="S595" s="66" t="s">
        <v>88</v>
      </c>
      <c r="T595" s="9">
        <v>20.24270297190909</v>
      </c>
      <c r="U595" s="66" t="s">
        <v>88</v>
      </c>
      <c r="V595" s="9">
        <v>8.1820000000000004</v>
      </c>
      <c r="W595" s="80" t="s">
        <v>79</v>
      </c>
      <c r="X595" s="9">
        <v>166.40979209300002</v>
      </c>
      <c r="Y595" s="80" t="s">
        <v>79</v>
      </c>
      <c r="Z595" s="9">
        <v>46.224942248055562</v>
      </c>
      <c r="AA595" s="66" t="s">
        <v>88</v>
      </c>
      <c r="AB595" s="66" t="s">
        <v>262</v>
      </c>
      <c r="AC595" s="9">
        <v>26.73332213681206</v>
      </c>
      <c r="AD595" s="78" t="s">
        <v>88</v>
      </c>
      <c r="AE595" s="80" t="s">
        <v>79</v>
      </c>
      <c r="AF595" s="9">
        <v>25.810325673940476</v>
      </c>
      <c r="AG595" s="66" t="s">
        <v>88</v>
      </c>
      <c r="AH595" s="73" t="s">
        <v>306</v>
      </c>
      <c r="AI595" s="9">
        <v>23.860634358911962</v>
      </c>
      <c r="AJ595" s="53" t="s">
        <v>1</v>
      </c>
      <c r="AK595" s="78" t="s">
        <v>262</v>
      </c>
      <c r="AL595" s="9">
        <v>23.211639679217573</v>
      </c>
      <c r="AM595" s="66" t="s">
        <v>88</v>
      </c>
      <c r="AN595" s="67" t="s">
        <v>1491</v>
      </c>
      <c r="AO595" s="9">
        <v>22.719718548361861</v>
      </c>
      <c r="AP595" s="60"/>
      <c r="AQ595" s="66" t="s">
        <v>88</v>
      </c>
      <c r="AR595" s="9">
        <v>17.588239149898001</v>
      </c>
      <c r="AS595" s="66" t="s">
        <v>88</v>
      </c>
      <c r="AT595" s="9">
        <v>5.8627463832993341</v>
      </c>
      <c r="AU595" s="78" t="s">
        <v>88</v>
      </c>
      <c r="AV595" s="9">
        <v>3.3333333333333002</v>
      </c>
      <c r="AW595" s="71" t="s">
        <v>79</v>
      </c>
      <c r="AX595" s="9">
        <v>185.31376833220003</v>
      </c>
      <c r="AY595" s="80" t="s">
        <v>79</v>
      </c>
      <c r="AZ595" s="9">
        <v>2.8509810512646157</v>
      </c>
      <c r="BA595" s="78" t="s">
        <v>88</v>
      </c>
      <c r="BB595" s="80" t="s">
        <v>79</v>
      </c>
      <c r="BC595" s="9">
        <v>14.616454771050588</v>
      </c>
      <c r="BD595" s="78" t="s">
        <v>88</v>
      </c>
      <c r="BE595" s="78" t="s">
        <v>262</v>
      </c>
      <c r="BF595" s="9">
        <v>13.453540973108089</v>
      </c>
      <c r="BG595" s="78" t="s">
        <v>88</v>
      </c>
      <c r="BH595" s="73" t="s">
        <v>306</v>
      </c>
      <c r="BI595" s="9">
        <v>12.117933956208088</v>
      </c>
      <c r="BJ595" s="66" t="s">
        <v>88</v>
      </c>
      <c r="BK595" s="76" t="s">
        <v>1491</v>
      </c>
      <c r="BL595" s="9">
        <v>12.117933956208088</v>
      </c>
      <c r="BM595" s="53" t="s">
        <v>1</v>
      </c>
      <c r="BN595" s="80" t="s">
        <v>79</v>
      </c>
      <c r="BO595" s="9">
        <v>10.325433983147638</v>
      </c>
    </row>
    <row r="596" spans="1:67" x14ac:dyDescent="0.45">
      <c r="A596" s="10">
        <v>613</v>
      </c>
      <c r="B596" s="10" t="s">
        <v>2600</v>
      </c>
      <c r="C596" s="291" t="s">
        <v>1919</v>
      </c>
      <c r="D596" s="65"/>
      <c r="E596" s="58" t="s">
        <v>2223</v>
      </c>
      <c r="F596" s="291" t="s">
        <v>1919</v>
      </c>
      <c r="G596" s="242"/>
      <c r="H596" s="10"/>
      <c r="I596" s="62">
        <v>113.01290143000001</v>
      </c>
      <c r="J596" s="62">
        <v>70.336700890000003</v>
      </c>
      <c r="K596" s="62">
        <v>127.23830161000001</v>
      </c>
      <c r="L596" s="49">
        <v>1069.1236919131568</v>
      </c>
      <c r="M596" s="49">
        <v>1007.5932628155595</v>
      </c>
      <c r="N596" s="49">
        <v>960.9285481523317</v>
      </c>
      <c r="O596" s="61">
        <v>8.3614084751578854</v>
      </c>
      <c r="P596" s="60"/>
      <c r="Q596" s="14" t="s">
        <v>161</v>
      </c>
      <c r="R596" s="9">
        <v>12.301290143000001</v>
      </c>
      <c r="S596" s="14" t="s">
        <v>161</v>
      </c>
      <c r="T596" s="9">
        <v>8.2008600953333346</v>
      </c>
      <c r="U596" s="74" t="s">
        <v>59</v>
      </c>
      <c r="V596" s="9">
        <v>15</v>
      </c>
      <c r="W596" s="65" t="s">
        <v>84</v>
      </c>
      <c r="X596" s="9">
        <v>51.855805643500005</v>
      </c>
      <c r="Y596" s="291" t="s">
        <v>114</v>
      </c>
      <c r="Z596" s="9">
        <v>18.370458120526319</v>
      </c>
      <c r="AA596" s="74" t="s">
        <v>59</v>
      </c>
      <c r="AB596" s="74" t="s">
        <v>114</v>
      </c>
      <c r="AC596" s="9">
        <v>11.199572045568736</v>
      </c>
      <c r="AD596" s="65" t="s">
        <v>161</v>
      </c>
      <c r="AE596" s="291" t="s">
        <v>114</v>
      </c>
      <c r="AF596" s="9">
        <v>11.198668257907851</v>
      </c>
      <c r="AG596" s="14" t="s">
        <v>161</v>
      </c>
      <c r="AH596" s="14" t="s">
        <v>84</v>
      </c>
      <c r="AI596" s="9">
        <v>11.089601208872779</v>
      </c>
      <c r="AJ596" s="74" t="s">
        <v>59</v>
      </c>
      <c r="AK596" s="65" t="s">
        <v>84</v>
      </c>
      <c r="AL596" s="9">
        <v>11.029522002422461</v>
      </c>
      <c r="AM596" s="14" t="s">
        <v>161</v>
      </c>
      <c r="AN596" s="74" t="s">
        <v>69</v>
      </c>
      <c r="AO596" s="9">
        <v>10.064589738464273</v>
      </c>
      <c r="AP596" s="60"/>
      <c r="AQ596" s="14" t="s">
        <v>161</v>
      </c>
      <c r="AR596" s="9">
        <v>12.753341748720002</v>
      </c>
      <c r="AS596" s="14" t="s">
        <v>161</v>
      </c>
      <c r="AT596" s="9">
        <v>4.2511139162400005</v>
      </c>
      <c r="AU596" s="291" t="s">
        <v>59</v>
      </c>
      <c r="AV596" s="9">
        <v>4</v>
      </c>
      <c r="AW596" s="14" t="s">
        <v>84</v>
      </c>
      <c r="AX596" s="9">
        <v>67.112547336550008</v>
      </c>
      <c r="AY596" s="291" t="s">
        <v>114</v>
      </c>
      <c r="AZ596" s="9">
        <v>1.2370633678367502</v>
      </c>
      <c r="BA596" s="291" t="s">
        <v>59</v>
      </c>
      <c r="BB596" s="291" t="s">
        <v>114</v>
      </c>
      <c r="BC596" s="9">
        <v>6.5556861215045465</v>
      </c>
      <c r="BD596" s="291" t="s">
        <v>59</v>
      </c>
      <c r="BE596" s="291" t="s">
        <v>69</v>
      </c>
      <c r="BF596" s="9">
        <v>6.4774532302208172</v>
      </c>
      <c r="BG596" s="65" t="s">
        <v>161</v>
      </c>
      <c r="BH596" s="74" t="s">
        <v>114</v>
      </c>
      <c r="BI596" s="9">
        <v>6.4049910970604769</v>
      </c>
      <c r="BJ596" s="14" t="s">
        <v>161</v>
      </c>
      <c r="BK596" s="291" t="s">
        <v>69</v>
      </c>
      <c r="BL596" s="9">
        <v>6.363408552537873</v>
      </c>
      <c r="BM596" s="74" t="s">
        <v>59</v>
      </c>
      <c r="BN596" s="65" t="s">
        <v>84</v>
      </c>
      <c r="BO596" s="9">
        <v>6.3160978919481261</v>
      </c>
    </row>
    <row r="597" spans="1:67" x14ac:dyDescent="0.45">
      <c r="A597" s="10">
        <v>614</v>
      </c>
      <c r="B597" s="10" t="s">
        <v>2601</v>
      </c>
      <c r="C597" s="291" t="s">
        <v>1919</v>
      </c>
      <c r="D597" s="65"/>
      <c r="E597" s="58" t="s">
        <v>2223</v>
      </c>
      <c r="F597" s="291" t="s">
        <v>1919</v>
      </c>
      <c r="G597" s="242"/>
      <c r="H597" s="10"/>
      <c r="I597" s="62">
        <v>195.99440248000002</v>
      </c>
      <c r="J597" s="62">
        <v>131.98010167000001</v>
      </c>
      <c r="K597" s="62">
        <v>182.55930231000002</v>
      </c>
      <c r="L597" s="49">
        <v>3042.2848953787557</v>
      </c>
      <c r="M597" s="49">
        <v>2814.7342397601883</v>
      </c>
      <c r="N597" s="49">
        <v>2645.0105464158182</v>
      </c>
      <c r="O597" s="61">
        <v>21.28499895372023</v>
      </c>
      <c r="P597" s="60"/>
      <c r="Q597" s="14" t="s">
        <v>161</v>
      </c>
      <c r="R597" s="9">
        <v>20.599440248000001</v>
      </c>
      <c r="S597" s="14" t="s">
        <v>161</v>
      </c>
      <c r="T597" s="9">
        <v>13.732960165333333</v>
      </c>
      <c r="U597" s="74" t="s">
        <v>59</v>
      </c>
      <c r="V597" s="9">
        <v>15</v>
      </c>
      <c r="W597" s="65" t="s">
        <v>84</v>
      </c>
      <c r="X597" s="9">
        <v>89.197481116000006</v>
      </c>
      <c r="Y597" s="288" t="s">
        <v>218</v>
      </c>
      <c r="Z597" s="9">
        <v>38.057753415294123</v>
      </c>
      <c r="AA597" s="14" t="s">
        <v>161</v>
      </c>
      <c r="AB597" s="74" t="s">
        <v>114</v>
      </c>
      <c r="AC597" s="9">
        <v>18.962334787738598</v>
      </c>
      <c r="AD597" s="291" t="s">
        <v>59</v>
      </c>
      <c r="AE597" s="291" t="s">
        <v>114</v>
      </c>
      <c r="AF597" s="9">
        <v>18.849079689530999</v>
      </c>
      <c r="AG597" s="14" t="s">
        <v>161</v>
      </c>
      <c r="AH597" s="14" t="s">
        <v>84</v>
      </c>
      <c r="AI597" s="9">
        <v>18.813323710720297</v>
      </c>
      <c r="AJ597" s="74" t="s">
        <v>59</v>
      </c>
      <c r="AK597" s="65" t="s">
        <v>84</v>
      </c>
      <c r="AL597" s="9">
        <v>18.61766995940107</v>
      </c>
      <c r="AM597" s="14" t="s">
        <v>161</v>
      </c>
      <c r="AN597" s="73" t="s">
        <v>218</v>
      </c>
      <c r="AO597" s="9">
        <v>18.587534698676627</v>
      </c>
      <c r="AP597" s="60"/>
      <c r="AQ597" s="14" t="s">
        <v>161</v>
      </c>
      <c r="AR597" s="9">
        <v>21.383417857920001</v>
      </c>
      <c r="AS597" s="14" t="s">
        <v>161</v>
      </c>
      <c r="AT597" s="9">
        <v>7.1278059526400002</v>
      </c>
      <c r="AU597" s="291" t="s">
        <v>59</v>
      </c>
      <c r="AV597" s="9">
        <v>4</v>
      </c>
      <c r="AW597" s="14" t="s">
        <v>84</v>
      </c>
      <c r="AX597" s="9">
        <v>115.65672545080001</v>
      </c>
      <c r="AY597" s="291" t="s">
        <v>114</v>
      </c>
      <c r="AZ597" s="9">
        <v>2.1270399665980002</v>
      </c>
      <c r="BA597" s="291" t="s">
        <v>59</v>
      </c>
      <c r="BB597" s="291" t="s">
        <v>114</v>
      </c>
      <c r="BC597" s="9">
        <v>10.9687932228</v>
      </c>
      <c r="BD597" s="291" t="s">
        <v>59</v>
      </c>
      <c r="BE597" s="288" t="s">
        <v>218</v>
      </c>
      <c r="BF597" s="9">
        <v>10.852978348607273</v>
      </c>
      <c r="BG597" s="65" t="s">
        <v>161</v>
      </c>
      <c r="BH597" s="74" t="s">
        <v>114</v>
      </c>
      <c r="BI597" s="9">
        <v>10.839891319843812</v>
      </c>
      <c r="BJ597" s="14" t="s">
        <v>161</v>
      </c>
      <c r="BK597" s="288" t="s">
        <v>218</v>
      </c>
      <c r="BL597" s="9">
        <v>10.779226385742859</v>
      </c>
      <c r="BM597" s="14" t="s">
        <v>161</v>
      </c>
      <c r="BN597" s="65" t="s">
        <v>84</v>
      </c>
      <c r="BO597" s="9">
        <v>10.628738839677419</v>
      </c>
    </row>
    <row r="598" spans="1:67" x14ac:dyDescent="0.45">
      <c r="A598" s="10">
        <v>615</v>
      </c>
      <c r="B598" s="10" t="s">
        <v>2602</v>
      </c>
      <c r="C598" s="291" t="s">
        <v>1919</v>
      </c>
      <c r="D598" s="65"/>
      <c r="E598" s="58" t="s">
        <v>2223</v>
      </c>
      <c r="F598" s="291" t="s">
        <v>1919</v>
      </c>
      <c r="G598" s="242"/>
      <c r="H598" s="10"/>
      <c r="I598" s="62">
        <v>162.01150205000002</v>
      </c>
      <c r="J598" s="62">
        <v>184.13990233000001</v>
      </c>
      <c r="K598" s="62">
        <v>162.01150205000002</v>
      </c>
      <c r="L598" s="49">
        <v>2798.2900418209961</v>
      </c>
      <c r="M598" s="49">
        <v>2858.6417811942897</v>
      </c>
      <c r="N598" s="49">
        <v>2907.8590059429512</v>
      </c>
      <c r="O598" s="61">
        <v>25.193629659065152</v>
      </c>
      <c r="P598" s="60"/>
      <c r="Q598" s="74" t="s">
        <v>241</v>
      </c>
      <c r="R598" s="9">
        <v>12.664828147600002</v>
      </c>
      <c r="S598" s="74" t="s">
        <v>109</v>
      </c>
      <c r="T598" s="9">
        <v>11.911877914444444</v>
      </c>
      <c r="U598" s="74" t="s">
        <v>241</v>
      </c>
      <c r="V598" s="9">
        <v>10</v>
      </c>
      <c r="W598" s="79" t="s">
        <v>9</v>
      </c>
      <c r="X598" s="9">
        <v>146.81035184500001</v>
      </c>
      <c r="Y598" s="79" t="s">
        <v>9</v>
      </c>
      <c r="Z598" s="9">
        <v>29.961296294897959</v>
      </c>
      <c r="AA598" s="74" t="s">
        <v>109</v>
      </c>
      <c r="AB598" s="72" t="s">
        <v>9</v>
      </c>
      <c r="AC598" s="9">
        <v>17.239718279759035</v>
      </c>
      <c r="AD598" s="291" t="s">
        <v>241</v>
      </c>
      <c r="AE598" s="79" t="s">
        <v>9</v>
      </c>
      <c r="AF598" s="9">
        <v>16.611070393210191</v>
      </c>
      <c r="AG598" s="74" t="s">
        <v>109</v>
      </c>
      <c r="AH598" s="74" t="s">
        <v>108</v>
      </c>
      <c r="AI598" s="9">
        <v>15.887720354523159</v>
      </c>
      <c r="AJ598" s="74" t="s">
        <v>241</v>
      </c>
      <c r="AK598" s="291" t="s">
        <v>108</v>
      </c>
      <c r="AL598" s="9">
        <v>15.384285177270955</v>
      </c>
      <c r="AM598" s="74" t="s">
        <v>109</v>
      </c>
      <c r="AN598" s="67" t="s">
        <v>1491</v>
      </c>
      <c r="AO598" s="9">
        <v>14.482759275910366</v>
      </c>
      <c r="AP598" s="60"/>
      <c r="AQ598" s="74" t="s">
        <v>241</v>
      </c>
      <c r="AR598" s="9">
        <v>12.373207443910001</v>
      </c>
      <c r="AS598" s="74" t="s">
        <v>109</v>
      </c>
      <c r="AT598" s="9">
        <v>4.9229140059650005</v>
      </c>
      <c r="AU598" s="291" t="s">
        <v>241</v>
      </c>
      <c r="AV598" s="9">
        <v>3.3333333333333002</v>
      </c>
      <c r="AW598" s="72" t="s">
        <v>9</v>
      </c>
      <c r="AX598" s="9">
        <v>158.96121449875002</v>
      </c>
      <c r="AY598" s="79" t="s">
        <v>9</v>
      </c>
      <c r="AZ598" s="9">
        <v>1.9870151812343753</v>
      </c>
      <c r="BA598" s="291" t="s">
        <v>241</v>
      </c>
      <c r="BB598" s="79" t="s">
        <v>9</v>
      </c>
      <c r="BC598" s="9">
        <v>10.317874962001202</v>
      </c>
      <c r="BD598" s="291" t="s">
        <v>109</v>
      </c>
      <c r="BE598" s="79" t="s">
        <v>9</v>
      </c>
      <c r="BF598" s="9">
        <v>9.5907412936251522</v>
      </c>
      <c r="BG598" s="291" t="s">
        <v>241</v>
      </c>
      <c r="BH598" s="74" t="s">
        <v>108</v>
      </c>
      <c r="BI598" s="9">
        <v>9.2807590496136854</v>
      </c>
      <c r="BJ598" s="74" t="s">
        <v>109</v>
      </c>
      <c r="BK598" s="291" t="s">
        <v>108</v>
      </c>
      <c r="BL598" s="9">
        <v>8.8098045368944007</v>
      </c>
      <c r="BM598" s="74" t="s">
        <v>241</v>
      </c>
      <c r="BN598" s="76" t="s">
        <v>1491</v>
      </c>
      <c r="BO598" s="9">
        <v>8.431301236516088</v>
      </c>
    </row>
    <row r="599" spans="1:67" x14ac:dyDescent="0.45">
      <c r="A599" s="10">
        <v>616</v>
      </c>
      <c r="B599" s="10" t="s">
        <v>3178</v>
      </c>
      <c r="C599" s="289" t="s">
        <v>1887</v>
      </c>
      <c r="D599" s="65"/>
      <c r="E599" s="287" t="s">
        <v>2203</v>
      </c>
      <c r="F599" s="58" t="s">
        <v>2204</v>
      </c>
      <c r="G599" s="242"/>
      <c r="H599" s="10"/>
      <c r="I599" s="62">
        <v>68.756100870000012</v>
      </c>
      <c r="J599" s="62">
        <v>122.49650155</v>
      </c>
      <c r="K599" s="62">
        <v>120.12560152</v>
      </c>
      <c r="L599" s="49">
        <v>834.04766441944901</v>
      </c>
      <c r="M599" s="49">
        <v>1007.8138769680345</v>
      </c>
      <c r="N599" s="49">
        <v>1172.5514411940369</v>
      </c>
      <c r="O599" s="61">
        <v>13.109141910438199</v>
      </c>
      <c r="P599" s="60"/>
      <c r="Q599" s="69" t="s">
        <v>10</v>
      </c>
      <c r="R599" s="9">
        <v>5.1253660522000004</v>
      </c>
      <c r="S599" s="54" t="s">
        <v>104</v>
      </c>
      <c r="T599" s="9">
        <v>5.1175306739374999</v>
      </c>
      <c r="U599" s="69" t="s">
        <v>10</v>
      </c>
      <c r="V599" s="9">
        <v>12.727</v>
      </c>
      <c r="W599" s="289" t="s">
        <v>126</v>
      </c>
      <c r="X599" s="9">
        <v>38.128294469800004</v>
      </c>
      <c r="Y599" s="289" t="s">
        <v>1534</v>
      </c>
      <c r="Z599" s="9">
        <v>11.013877721206898</v>
      </c>
      <c r="AA599" s="69" t="s">
        <v>10</v>
      </c>
      <c r="AB599" s="69" t="s">
        <v>126</v>
      </c>
      <c r="AC599" s="9">
        <v>7.3976069774082402</v>
      </c>
      <c r="AD599" s="289" t="s">
        <v>10</v>
      </c>
      <c r="AE599" s="289" t="s">
        <v>1534</v>
      </c>
      <c r="AF599" s="9">
        <v>7.3580725741736401</v>
      </c>
      <c r="AG599" s="54" t="s">
        <v>104</v>
      </c>
      <c r="AH599" s="69" t="s">
        <v>126</v>
      </c>
      <c r="AI599" s="9">
        <v>7.3236721654583334</v>
      </c>
      <c r="AJ599" s="54" t="s">
        <v>104</v>
      </c>
      <c r="AK599" s="289" t="s">
        <v>1534</v>
      </c>
      <c r="AL599" s="9">
        <v>7.2820125014161396</v>
      </c>
      <c r="AM599" s="54" t="s">
        <v>104</v>
      </c>
      <c r="AN599" s="15" t="s">
        <v>1480</v>
      </c>
      <c r="AO599" s="9">
        <v>6.7351835918391734</v>
      </c>
      <c r="AP599" s="60"/>
      <c r="AQ599" s="69" t="s">
        <v>10</v>
      </c>
      <c r="AR599" s="9">
        <v>4.2177855207160002</v>
      </c>
      <c r="AS599" s="54" t="s">
        <v>104</v>
      </c>
      <c r="AT599" s="9">
        <v>1.8407439669650003</v>
      </c>
      <c r="AU599" s="289" t="s">
        <v>10</v>
      </c>
      <c r="AV599" s="9">
        <v>3.6666666666666998</v>
      </c>
      <c r="AW599" s="69" t="s">
        <v>126</v>
      </c>
      <c r="AX599" s="9">
        <v>49.266782810740011</v>
      </c>
      <c r="AY599" s="289" t="s">
        <v>126</v>
      </c>
      <c r="AZ599" s="9">
        <v>0.82111304684566688</v>
      </c>
      <c r="BA599" s="289" t="s">
        <v>10</v>
      </c>
      <c r="BB599" s="289" t="s">
        <v>126</v>
      </c>
      <c r="BC599" s="9">
        <v>4.1623127861837705</v>
      </c>
      <c r="BD599" s="289" t="s">
        <v>10</v>
      </c>
      <c r="BE599" s="64" t="s">
        <v>1480</v>
      </c>
      <c r="BF599" s="9">
        <v>3.9102255685979319</v>
      </c>
      <c r="BG599" s="289" t="s">
        <v>10</v>
      </c>
      <c r="BH599" s="69" t="s">
        <v>1534</v>
      </c>
      <c r="BI599" s="9">
        <v>3.8944529132831258</v>
      </c>
      <c r="BJ599" s="54" t="s">
        <v>104</v>
      </c>
      <c r="BK599" s="289" t="s">
        <v>126</v>
      </c>
      <c r="BL599" s="9">
        <v>3.7377855207160007</v>
      </c>
      <c r="BM599" s="54" t="s">
        <v>104</v>
      </c>
      <c r="BN599" s="64" t="s">
        <v>1480</v>
      </c>
      <c r="BO599" s="9">
        <v>3.572352991787334</v>
      </c>
    </row>
    <row r="600" spans="1:67" x14ac:dyDescent="0.45">
      <c r="A600" s="10">
        <v>617</v>
      </c>
      <c r="B600" s="10" t="s">
        <v>3179</v>
      </c>
      <c r="C600" s="289" t="s">
        <v>1887</v>
      </c>
      <c r="D600" s="65"/>
      <c r="E600" s="287" t="s">
        <v>2203</v>
      </c>
      <c r="F600" s="58" t="s">
        <v>2204</v>
      </c>
      <c r="G600" s="242"/>
      <c r="H600" s="10"/>
      <c r="I600" s="62">
        <v>185.72050235</v>
      </c>
      <c r="J600" s="62">
        <v>106.69050135000001</v>
      </c>
      <c r="K600" s="62">
        <v>162.01150205000002</v>
      </c>
      <c r="L600" s="49">
        <v>2441.7188272933108</v>
      </c>
      <c r="M600" s="49">
        <v>2176.1440297279987</v>
      </c>
      <c r="N600" s="49">
        <v>1984.6376383145162</v>
      </c>
      <c r="O600" s="61">
        <v>15.618719377365023</v>
      </c>
      <c r="P600" s="60"/>
      <c r="Q600" s="69" t="s">
        <v>10</v>
      </c>
      <c r="R600" s="9">
        <v>12.143230141</v>
      </c>
      <c r="S600" s="69" t="s">
        <v>10</v>
      </c>
      <c r="T600" s="9">
        <v>11.039300128181818</v>
      </c>
      <c r="U600" s="69" t="s">
        <v>10</v>
      </c>
      <c r="V600" s="9">
        <v>12.727</v>
      </c>
      <c r="W600" s="58" t="s">
        <v>187</v>
      </c>
      <c r="X600" s="9">
        <v>131.00435164500001</v>
      </c>
      <c r="Y600" s="58" t="s">
        <v>187</v>
      </c>
      <c r="Z600" s="9">
        <v>37.42981475571429</v>
      </c>
      <c r="AA600" s="69" t="s">
        <v>10</v>
      </c>
      <c r="AB600" s="69" t="s">
        <v>126</v>
      </c>
      <c r="AC600" s="9">
        <v>18.962626449588011</v>
      </c>
      <c r="AD600" s="289" t="s">
        <v>10</v>
      </c>
      <c r="AE600" s="289" t="s">
        <v>1534</v>
      </c>
      <c r="AF600" s="9">
        <v>18.736408701412131</v>
      </c>
      <c r="AG600" s="69" t="s">
        <v>10</v>
      </c>
      <c r="AH600" s="55" t="s">
        <v>187</v>
      </c>
      <c r="AI600" s="9">
        <v>18.548796160406503</v>
      </c>
      <c r="AJ600" s="69" t="s">
        <v>10</v>
      </c>
      <c r="AK600" s="63" t="s">
        <v>55</v>
      </c>
      <c r="AL600" s="9">
        <v>9.0842289725773195</v>
      </c>
      <c r="AO600" s="9"/>
      <c r="AP600" s="60"/>
      <c r="AQ600" s="69" t="s">
        <v>10</v>
      </c>
      <c r="AR600" s="9">
        <v>9.6917195099800004</v>
      </c>
      <c r="AS600" s="69" t="s">
        <v>10</v>
      </c>
      <c r="AT600" s="9">
        <v>3.2305731699933333</v>
      </c>
      <c r="AU600" s="289" t="s">
        <v>10</v>
      </c>
      <c r="AV600" s="9">
        <v>3.6666666666666998</v>
      </c>
      <c r="AW600" s="55" t="s">
        <v>187</v>
      </c>
      <c r="AX600" s="9">
        <v>182.07748979125</v>
      </c>
      <c r="AY600" s="58" t="s">
        <v>187</v>
      </c>
      <c r="AZ600" s="9">
        <v>2.4276998638833334</v>
      </c>
      <c r="BA600" s="289" t="s">
        <v>10</v>
      </c>
      <c r="BB600" s="58" t="s">
        <v>187</v>
      </c>
      <c r="BC600" s="9">
        <v>11.566658266746822</v>
      </c>
      <c r="BD600" s="289" t="s">
        <v>10</v>
      </c>
      <c r="BE600" s="289" t="s">
        <v>126</v>
      </c>
      <c r="BF600" s="9">
        <v>10.610664344217279</v>
      </c>
      <c r="BG600" s="289" t="s">
        <v>10</v>
      </c>
      <c r="BH600" s="69" t="s">
        <v>1534</v>
      </c>
      <c r="BI600" s="9">
        <v>9.8815682140406249</v>
      </c>
      <c r="BJ600" s="69" t="s">
        <v>10</v>
      </c>
      <c r="BK600" s="63" t="s">
        <v>55</v>
      </c>
      <c r="BL600" s="9">
        <v>4.727740955649069</v>
      </c>
      <c r="BN600" s="78"/>
      <c r="BO600" s="9"/>
    </row>
    <row r="601" spans="1:67" x14ac:dyDescent="0.45">
      <c r="A601" s="10">
        <v>622</v>
      </c>
      <c r="B601" s="10" t="s">
        <v>361</v>
      </c>
      <c r="C601" s="80" t="s">
        <v>2191</v>
      </c>
      <c r="D601" s="65"/>
      <c r="E601" s="77" t="s">
        <v>2364</v>
      </c>
      <c r="F601" s="289" t="s">
        <v>2151</v>
      </c>
      <c r="G601" s="64" t="s">
        <v>2365</v>
      </c>
      <c r="H601" s="10"/>
      <c r="I601" s="62">
        <v>112.22260142</v>
      </c>
      <c r="J601" s="62">
        <v>84.562101070000011</v>
      </c>
      <c r="K601" s="62">
        <v>132.77040168000002</v>
      </c>
      <c r="L601" s="49">
        <v>1189.1012864412485</v>
      </c>
      <c r="M601" s="49">
        <v>1166.5541707413261</v>
      </c>
      <c r="N601" s="49">
        <v>1148.8246886769771</v>
      </c>
      <c r="O601" s="61">
        <v>10.351960588418185</v>
      </c>
      <c r="P601" s="60"/>
      <c r="Q601" s="71" t="s">
        <v>80</v>
      </c>
      <c r="R601" s="9">
        <v>13.12004095336</v>
      </c>
      <c r="S601" s="71" t="s">
        <v>80</v>
      </c>
      <c r="T601" s="9">
        <v>9.3714578238285728</v>
      </c>
      <c r="U601" s="68" t="s">
        <v>277</v>
      </c>
      <c r="V601" s="9">
        <v>12.727</v>
      </c>
      <c r="W601" s="77" t="s">
        <v>129</v>
      </c>
      <c r="X601" s="9">
        <v>41.400136511200003</v>
      </c>
      <c r="Y601" s="77" t="s">
        <v>1481</v>
      </c>
      <c r="Z601" s="9">
        <v>16.431426082823528</v>
      </c>
      <c r="AA601" s="71" t="s">
        <v>80</v>
      </c>
      <c r="AB601" s="68" t="s">
        <v>1481</v>
      </c>
      <c r="AC601" s="9">
        <v>11.518923318115307</v>
      </c>
      <c r="AD601" s="80" t="s">
        <v>80</v>
      </c>
      <c r="AE601" s="77" t="s">
        <v>129</v>
      </c>
      <c r="AF601" s="9">
        <v>11.39134076879842</v>
      </c>
      <c r="AG601" s="71" t="s">
        <v>80</v>
      </c>
      <c r="AH601" s="55" t="s">
        <v>106</v>
      </c>
      <c r="AI601" s="9">
        <v>10.910965716396761</v>
      </c>
      <c r="AJ601" s="68" t="s">
        <v>277</v>
      </c>
      <c r="AK601" s="77" t="s">
        <v>1481</v>
      </c>
      <c r="AL601" s="9">
        <v>9.9882707228754128</v>
      </c>
      <c r="AM601" s="68" t="s">
        <v>277</v>
      </c>
      <c r="AN601" s="68" t="s">
        <v>129</v>
      </c>
      <c r="AO601" s="9">
        <v>9.8351876867045931</v>
      </c>
      <c r="AP601" s="60"/>
      <c r="AQ601" s="71" t="s">
        <v>80</v>
      </c>
      <c r="AR601" s="9">
        <v>10.628699201836001</v>
      </c>
      <c r="AS601" s="71" t="s">
        <v>80</v>
      </c>
      <c r="AT601" s="9">
        <v>3.5428997339453336</v>
      </c>
      <c r="AU601" s="77" t="s">
        <v>277</v>
      </c>
      <c r="AV601" s="9">
        <v>3</v>
      </c>
      <c r="AW601" s="68" t="s">
        <v>129</v>
      </c>
      <c r="AX601" s="9">
        <v>53.520177464560007</v>
      </c>
      <c r="AY601" s="77" t="s">
        <v>1481</v>
      </c>
      <c r="AZ601" s="9">
        <v>1.0289557612297142</v>
      </c>
      <c r="BA601" s="80" t="s">
        <v>80</v>
      </c>
      <c r="BB601" s="77" t="s">
        <v>129</v>
      </c>
      <c r="BC601" s="9">
        <v>5.8539877214882088</v>
      </c>
      <c r="BD601" s="80" t="s">
        <v>80</v>
      </c>
      <c r="BE601" s="77" t="s">
        <v>1481</v>
      </c>
      <c r="BF601" s="9">
        <v>5.8416998691024782</v>
      </c>
      <c r="BG601" s="80" t="s">
        <v>80</v>
      </c>
      <c r="BH601" s="55" t="s">
        <v>106</v>
      </c>
      <c r="BI601" s="9">
        <v>5.4285617966182302</v>
      </c>
      <c r="BJ601" s="68" t="s">
        <v>277</v>
      </c>
      <c r="BK601" s="77" t="s">
        <v>1481</v>
      </c>
      <c r="BL601" s="9">
        <v>4.4939027695233333</v>
      </c>
      <c r="BM601" s="68" t="s">
        <v>277</v>
      </c>
      <c r="BN601" s="77" t="s">
        <v>129</v>
      </c>
      <c r="BO601" s="9">
        <v>4.4678107886605751</v>
      </c>
    </row>
    <row r="602" spans="1:67" x14ac:dyDescent="0.45">
      <c r="A602" s="10">
        <v>623</v>
      </c>
      <c r="B602" s="10" t="s">
        <v>359</v>
      </c>
      <c r="C602" s="80" t="s">
        <v>2191</v>
      </c>
      <c r="D602" s="65"/>
      <c r="E602" s="77" t="s">
        <v>2364</v>
      </c>
      <c r="F602" s="289" t="s">
        <v>2151</v>
      </c>
      <c r="G602" s="64" t="s">
        <v>2365</v>
      </c>
      <c r="H602" s="10"/>
      <c r="I602" s="62">
        <v>187.30110237000002</v>
      </c>
      <c r="J602" s="62">
        <v>133.56070169</v>
      </c>
      <c r="K602" s="62">
        <v>173.86600220000003</v>
      </c>
      <c r="L602" s="49">
        <v>2854.2171648591848</v>
      </c>
      <c r="M602" s="49">
        <v>2664.5413390805361</v>
      </c>
      <c r="N602" s="49">
        <v>2521.9171882612636</v>
      </c>
      <c r="O602" s="61">
        <v>20.48559483338337</v>
      </c>
      <c r="P602" s="60"/>
      <c r="Q602" s="71" t="s">
        <v>80</v>
      </c>
      <c r="R602" s="9">
        <v>21.228519055960003</v>
      </c>
      <c r="S602" s="71" t="s">
        <v>80</v>
      </c>
      <c r="T602" s="9">
        <v>15.16322789711429</v>
      </c>
      <c r="U602" s="68" t="s">
        <v>277</v>
      </c>
      <c r="V602" s="9">
        <v>12.727</v>
      </c>
      <c r="W602" s="80" t="s">
        <v>153</v>
      </c>
      <c r="X602" s="9">
        <v>113.38066142200002</v>
      </c>
      <c r="Y602" s="58" t="s">
        <v>267</v>
      </c>
      <c r="Z602" s="9">
        <v>31.587220765370375</v>
      </c>
      <c r="AA602" s="71" t="s">
        <v>80</v>
      </c>
      <c r="AB602" s="71" t="s">
        <v>153</v>
      </c>
      <c r="AC602" s="9">
        <v>21.39570574083039</v>
      </c>
      <c r="AD602" s="80" t="s">
        <v>80</v>
      </c>
      <c r="AE602" s="58" t="s">
        <v>267</v>
      </c>
      <c r="AF602" s="9">
        <v>20.359881890585939</v>
      </c>
      <c r="AG602" s="68" t="s">
        <v>277</v>
      </c>
      <c r="AH602" s="71" t="s">
        <v>153</v>
      </c>
      <c r="AI602" s="9">
        <v>19.799353943036053</v>
      </c>
      <c r="AJ602" s="71" t="s">
        <v>80</v>
      </c>
      <c r="AK602" s="77" t="s">
        <v>1481</v>
      </c>
      <c r="AL602" s="9">
        <v>18.773028976504971</v>
      </c>
      <c r="AM602" s="68" t="s">
        <v>277</v>
      </c>
      <c r="AN602" s="55" t="s">
        <v>267</v>
      </c>
      <c r="AO602" s="9">
        <v>18.249133519601294</v>
      </c>
      <c r="AP602" s="60"/>
      <c r="AQ602" s="71" t="s">
        <v>80</v>
      </c>
      <c r="AR602" s="9">
        <v>17.070434583346003</v>
      </c>
      <c r="AS602" s="71" t="s">
        <v>80</v>
      </c>
      <c r="AT602" s="9">
        <v>5.6901448611153347</v>
      </c>
      <c r="AU602" s="77" t="s">
        <v>277</v>
      </c>
      <c r="AV602" s="9">
        <v>3</v>
      </c>
      <c r="AW602" s="71" t="s">
        <v>153</v>
      </c>
      <c r="AX602" s="9">
        <v>132.48537386374002</v>
      </c>
      <c r="AY602" s="80" t="s">
        <v>153</v>
      </c>
      <c r="AZ602" s="9">
        <v>2.4088249793407277</v>
      </c>
      <c r="BA602" s="80" t="s">
        <v>80</v>
      </c>
      <c r="BB602" s="80" t="s">
        <v>153</v>
      </c>
      <c r="BC602" s="9">
        <v>11.553508051988151</v>
      </c>
      <c r="BD602" s="80" t="s">
        <v>80</v>
      </c>
      <c r="BE602" s="58" t="s">
        <v>267</v>
      </c>
      <c r="BF602" s="9">
        <v>11.000575242144938</v>
      </c>
      <c r="BG602" s="80" t="s">
        <v>80</v>
      </c>
      <c r="BH602" s="68" t="s">
        <v>1481</v>
      </c>
      <c r="BI602" s="9">
        <v>9.4952987781648694</v>
      </c>
      <c r="BJ602" s="68" t="s">
        <v>277</v>
      </c>
      <c r="BK602" s="80" t="s">
        <v>153</v>
      </c>
      <c r="BL602" s="9">
        <v>9.4777541917086801</v>
      </c>
      <c r="BM602" s="68" t="s">
        <v>277</v>
      </c>
      <c r="BN602" s="58" t="s">
        <v>267</v>
      </c>
      <c r="BO602" s="9">
        <v>8.8702984503116369</v>
      </c>
    </row>
    <row r="603" spans="1:67" x14ac:dyDescent="0.45">
      <c r="A603" s="10">
        <v>631</v>
      </c>
      <c r="B603" s="10" t="s">
        <v>356</v>
      </c>
      <c r="C603" s="75" t="s">
        <v>1976</v>
      </c>
      <c r="D603" s="65"/>
      <c r="E603" s="80" t="s">
        <v>2198</v>
      </c>
      <c r="F603" s="289" t="s">
        <v>2199</v>
      </c>
      <c r="G603" s="242"/>
      <c r="H603" s="10"/>
      <c r="I603" s="62">
        <v>173.07570219000002</v>
      </c>
      <c r="J603" s="62">
        <v>113.80320144000001</v>
      </c>
      <c r="K603" s="62">
        <v>168.33390213000001</v>
      </c>
      <c r="L603" s="49">
        <v>2395.5163395370591</v>
      </c>
      <c r="M603" s="49">
        <v>2223.5220903322761</v>
      </c>
      <c r="N603" s="49">
        <v>2094.8614131462882</v>
      </c>
      <c r="O603" s="61">
        <v>17.199570757665498</v>
      </c>
      <c r="P603" s="60"/>
      <c r="Q603" s="70" t="s">
        <v>36</v>
      </c>
      <c r="R603" s="9">
        <v>15.53835898396</v>
      </c>
      <c r="S603" s="70" t="s">
        <v>36</v>
      </c>
      <c r="T603" s="9">
        <v>14.12578089450909</v>
      </c>
      <c r="U603" s="68" t="s">
        <v>273</v>
      </c>
      <c r="V603" s="9">
        <v>12</v>
      </c>
      <c r="W603" s="75" t="s">
        <v>76</v>
      </c>
      <c r="X603" s="9">
        <v>73.691794919800003</v>
      </c>
      <c r="Y603" s="75" t="s">
        <v>76</v>
      </c>
      <c r="Z603" s="9">
        <v>33.496270418090909</v>
      </c>
      <c r="AA603" s="70" t="s">
        <v>36</v>
      </c>
      <c r="AB603" s="70" t="s">
        <v>76</v>
      </c>
      <c r="AC603" s="9">
        <v>19.660206472675323</v>
      </c>
      <c r="AD603" s="77" t="s">
        <v>273</v>
      </c>
      <c r="AE603" s="75" t="s">
        <v>76</v>
      </c>
      <c r="AF603" s="9">
        <v>18.546999928175392</v>
      </c>
      <c r="AG603" s="70" t="s">
        <v>36</v>
      </c>
      <c r="AH603" s="55" t="s">
        <v>44</v>
      </c>
      <c r="AI603" s="9">
        <v>16.952374498947059</v>
      </c>
      <c r="AJ603" s="70" t="s">
        <v>36</v>
      </c>
      <c r="AK603" s="290" t="s">
        <v>5</v>
      </c>
      <c r="AL603" s="9">
        <v>16.781078586454267</v>
      </c>
      <c r="AM603" s="68" t="s">
        <v>273</v>
      </c>
      <c r="AN603" s="55" t="s">
        <v>44</v>
      </c>
      <c r="AO603" s="9">
        <v>15.459650178255814</v>
      </c>
      <c r="AP603" s="60"/>
      <c r="AQ603" s="70" t="s">
        <v>36</v>
      </c>
      <c r="AR603" s="9">
        <v>13.149914293738002</v>
      </c>
      <c r="AS603" s="70" t="s">
        <v>36</v>
      </c>
      <c r="AT603" s="9">
        <v>4.3833047645793339</v>
      </c>
      <c r="AU603" s="75" t="s">
        <v>36</v>
      </c>
      <c r="AV603" s="9">
        <v>3.3333333333333002</v>
      </c>
      <c r="AW603" s="70" t="s">
        <v>76</v>
      </c>
      <c r="AX603" s="9">
        <v>122.49914293738001</v>
      </c>
      <c r="AY603" s="75" t="s">
        <v>76</v>
      </c>
      <c r="AZ603" s="9">
        <v>2.2272571443160003</v>
      </c>
      <c r="BA603" s="75" t="s">
        <v>36</v>
      </c>
      <c r="BB603" s="75" t="s">
        <v>76</v>
      </c>
      <c r="BC603" s="9">
        <v>11.132781231596516</v>
      </c>
      <c r="BD603" s="77" t="s">
        <v>273</v>
      </c>
      <c r="BE603" s="75" t="s">
        <v>76</v>
      </c>
      <c r="BF603" s="9">
        <v>10.484846886395088</v>
      </c>
      <c r="BG603" s="75" t="s">
        <v>36</v>
      </c>
      <c r="BH603" s="51" t="s">
        <v>5</v>
      </c>
      <c r="BI603" s="9">
        <v>8.8826323621443848</v>
      </c>
      <c r="BJ603" s="68" t="s">
        <v>273</v>
      </c>
      <c r="BK603" s="290" t="s">
        <v>5</v>
      </c>
      <c r="BL603" s="9">
        <v>8.4563427513250016</v>
      </c>
      <c r="BM603" s="70" t="s">
        <v>36</v>
      </c>
      <c r="BN603" s="58" t="s">
        <v>44</v>
      </c>
      <c r="BO603" s="9">
        <v>6.0456122880680878</v>
      </c>
    </row>
    <row r="604" spans="1:67" x14ac:dyDescent="0.45">
      <c r="A604" s="10">
        <v>632</v>
      </c>
      <c r="B604" s="10" t="s">
        <v>150</v>
      </c>
      <c r="C604" s="289" t="s">
        <v>2149</v>
      </c>
      <c r="D604" s="75" t="s">
        <v>1976</v>
      </c>
      <c r="E604" s="58"/>
      <c r="F604" s="64" t="s">
        <v>2297</v>
      </c>
      <c r="G604" s="63" t="s">
        <v>2106</v>
      </c>
      <c r="H604" s="10"/>
      <c r="I604" s="62">
        <v>183.34960232</v>
      </c>
      <c r="J604" s="62">
        <v>160.43090203</v>
      </c>
      <c r="K604" s="62">
        <v>131.18980166</v>
      </c>
      <c r="L604" s="49">
        <v>2659.9533662466906</v>
      </c>
      <c r="M604" s="49">
        <v>2460.2470256441388</v>
      </c>
      <c r="N604" s="49">
        <v>2311.3327318752808</v>
      </c>
      <c r="O604" s="61">
        <v>18.137140419677031</v>
      </c>
      <c r="P604" s="60"/>
      <c r="Q604" s="53" t="s">
        <v>56</v>
      </c>
      <c r="R604" s="9">
        <v>9.8007809113600004</v>
      </c>
      <c r="S604" s="53" t="s">
        <v>56</v>
      </c>
      <c r="T604" s="9">
        <v>14.001115587657145</v>
      </c>
      <c r="U604" s="69" t="s">
        <v>38</v>
      </c>
      <c r="V604" s="9">
        <v>12</v>
      </c>
      <c r="W604" s="56" t="s">
        <v>87</v>
      </c>
      <c r="X604" s="9">
        <v>92.674801160000001</v>
      </c>
      <c r="Y604" s="56" t="s">
        <v>87</v>
      </c>
      <c r="Z604" s="9">
        <v>40.293391808695652</v>
      </c>
      <c r="AA604" s="69" t="s">
        <v>38</v>
      </c>
      <c r="AB604" s="53" t="s">
        <v>184</v>
      </c>
      <c r="AC604" s="9">
        <v>19.974163310197802</v>
      </c>
      <c r="AD604" s="59" t="s">
        <v>56</v>
      </c>
      <c r="AE604" s="59" t="s">
        <v>184</v>
      </c>
      <c r="AF604" s="9">
        <v>19.856729677316771</v>
      </c>
      <c r="AG604" s="69" t="s">
        <v>38</v>
      </c>
      <c r="AH604" s="69" t="s">
        <v>26</v>
      </c>
      <c r="AI604" s="9">
        <v>19.785886728873095</v>
      </c>
      <c r="AJ604" s="53" t="s">
        <v>56</v>
      </c>
      <c r="AK604" s="289" t="s">
        <v>26</v>
      </c>
      <c r="AL604" s="9">
        <v>19.697590118633205</v>
      </c>
      <c r="AM604" s="69" t="s">
        <v>38</v>
      </c>
      <c r="AN604" s="52" t="s">
        <v>87</v>
      </c>
      <c r="AO604" s="9">
        <v>18.813249846592594</v>
      </c>
      <c r="AP604" s="60"/>
      <c r="AQ604" s="53" t="s">
        <v>56</v>
      </c>
      <c r="AR604" s="9">
        <v>8.1506344904799999</v>
      </c>
      <c r="AS604" s="69" t="s">
        <v>38</v>
      </c>
      <c r="AT604" s="9">
        <v>5.2903806942880003</v>
      </c>
      <c r="AU604" s="289" t="s">
        <v>2525</v>
      </c>
      <c r="AV604" s="9">
        <v>3</v>
      </c>
      <c r="AW604" s="52" t="s">
        <v>87</v>
      </c>
      <c r="AX604" s="9">
        <v>120.17724150800001</v>
      </c>
      <c r="AY604" s="56" t="s">
        <v>87</v>
      </c>
      <c r="AZ604" s="9">
        <v>2.1850407546909092</v>
      </c>
      <c r="BA604" s="289" t="s">
        <v>38</v>
      </c>
      <c r="BB604" s="56" t="s">
        <v>87</v>
      </c>
      <c r="BC604" s="9">
        <v>11.232804529480001</v>
      </c>
      <c r="BD604" s="289" t="s">
        <v>38</v>
      </c>
      <c r="BE604" s="59" t="s">
        <v>184</v>
      </c>
      <c r="BF604" s="9">
        <v>10.714069496501134</v>
      </c>
      <c r="BG604" s="59" t="s">
        <v>56</v>
      </c>
      <c r="BH604" s="52" t="s">
        <v>87</v>
      </c>
      <c r="BI604" s="9">
        <v>10.080589189865517</v>
      </c>
      <c r="BJ604" s="69" t="s">
        <v>38</v>
      </c>
      <c r="BK604" s="289" t="s">
        <v>26</v>
      </c>
      <c r="BL604" s="9">
        <v>10.032380409027368</v>
      </c>
      <c r="BM604" s="53" t="s">
        <v>56</v>
      </c>
      <c r="BN604" s="59" t="s">
        <v>184</v>
      </c>
      <c r="BO604" s="9">
        <v>9.5677832238143399</v>
      </c>
    </row>
    <row r="605" spans="1:67" x14ac:dyDescent="0.45">
      <c r="A605" s="10">
        <v>633</v>
      </c>
      <c r="B605" s="10" t="s">
        <v>351</v>
      </c>
      <c r="C605" s="78" t="s">
        <v>2192</v>
      </c>
      <c r="D605" s="65" t="s">
        <v>1894</v>
      </c>
      <c r="E605" s="58" t="s">
        <v>2366</v>
      </c>
      <c r="F605" s="77" t="s">
        <v>2367</v>
      </c>
      <c r="G605" s="242" t="s">
        <v>1925</v>
      </c>
      <c r="H605" s="10"/>
      <c r="I605" s="62">
        <v>103.52930131000001</v>
      </c>
      <c r="J605" s="62">
        <v>85.352401080000007</v>
      </c>
      <c r="K605" s="62">
        <v>123.28680156000001</v>
      </c>
      <c r="L605" s="49">
        <v>1062.012057333081</v>
      </c>
      <c r="M605" s="49">
        <v>1058.7589011470686</v>
      </c>
      <c r="N605" s="49">
        <v>1056.1635525156689</v>
      </c>
      <c r="O605" s="61">
        <v>9.6953068184568991</v>
      </c>
      <c r="P605" s="60"/>
      <c r="Q605" s="66" t="s">
        <v>254</v>
      </c>
      <c r="R605" s="9">
        <v>4.7270548471599998</v>
      </c>
      <c r="S605" s="66" t="s">
        <v>254</v>
      </c>
      <c r="T605" s="9">
        <v>9.4541096943199996</v>
      </c>
      <c r="U605" s="15" t="s">
        <v>127</v>
      </c>
      <c r="V605" s="9">
        <v>10</v>
      </c>
      <c r="W605" s="78" t="s">
        <v>253</v>
      </c>
      <c r="X605" s="9">
        <v>56.905822707400006</v>
      </c>
      <c r="Y605" s="78" t="s">
        <v>253</v>
      </c>
      <c r="Z605" s="9">
        <v>15.80717297427778</v>
      </c>
      <c r="AA605" s="66" t="s">
        <v>254</v>
      </c>
      <c r="AB605" s="66" t="s">
        <v>253</v>
      </c>
      <c r="AC605" s="9">
        <v>11.77604145146193</v>
      </c>
      <c r="AD605" s="78" t="s">
        <v>254</v>
      </c>
      <c r="AE605" s="76" t="s">
        <v>91</v>
      </c>
      <c r="AF605" s="9">
        <v>11.385669268307691</v>
      </c>
      <c r="AG605" s="66" t="s">
        <v>254</v>
      </c>
      <c r="AH605" s="15" t="s">
        <v>1480</v>
      </c>
      <c r="AI605" s="9">
        <v>10.924359734148352</v>
      </c>
      <c r="AJ605" s="15" t="s">
        <v>127</v>
      </c>
      <c r="AK605" s="78" t="s">
        <v>253</v>
      </c>
      <c r="AL605" s="9">
        <v>10.789319538941861</v>
      </c>
      <c r="AM605" s="15" t="s">
        <v>127</v>
      </c>
      <c r="AN605" s="67" t="s">
        <v>91</v>
      </c>
      <c r="AO605" s="9">
        <v>10.469978076816327</v>
      </c>
      <c r="AP605" s="60"/>
      <c r="AQ605" s="66" t="s">
        <v>254</v>
      </c>
      <c r="AR605" s="9">
        <v>4.2301142008720003</v>
      </c>
      <c r="AS605" s="66" t="s">
        <v>254</v>
      </c>
      <c r="AT605" s="9">
        <v>4.2301142008720003</v>
      </c>
      <c r="AU605" s="78" t="s">
        <v>254</v>
      </c>
      <c r="AV605" s="9">
        <v>3</v>
      </c>
      <c r="AW605" s="66" t="s">
        <v>253</v>
      </c>
      <c r="AX605" s="9">
        <v>73.677569519620008</v>
      </c>
      <c r="AY605" s="76" t="s">
        <v>91</v>
      </c>
      <c r="AZ605" s="9">
        <v>1.2783777447835556</v>
      </c>
      <c r="BA605" s="78" t="s">
        <v>254</v>
      </c>
      <c r="BB605" s="76" t="s">
        <v>91</v>
      </c>
      <c r="BC605" s="9">
        <v>7.5611694705212509</v>
      </c>
      <c r="BD605" s="78" t="s">
        <v>254</v>
      </c>
      <c r="BE605" s="78" t="s">
        <v>253</v>
      </c>
      <c r="BF605" s="9">
        <v>7.5371358827171431</v>
      </c>
      <c r="BG605" s="78" t="s">
        <v>254</v>
      </c>
      <c r="BH605" s="15" t="s">
        <v>1480</v>
      </c>
      <c r="BI605" s="9">
        <v>7.1627178832426326</v>
      </c>
      <c r="BJ605" s="15" t="s">
        <v>127</v>
      </c>
      <c r="BK605" s="76" t="s">
        <v>91</v>
      </c>
      <c r="BL605" s="9">
        <v>5.3383182751073406</v>
      </c>
      <c r="BM605" s="15" t="s">
        <v>127</v>
      </c>
      <c r="BN605" s="78" t="s">
        <v>253</v>
      </c>
      <c r="BO605" s="9">
        <v>5.2981358318054852</v>
      </c>
    </row>
    <row r="606" spans="1:67" x14ac:dyDescent="0.45">
      <c r="A606" s="10">
        <v>634</v>
      </c>
      <c r="B606" s="10" t="s">
        <v>348</v>
      </c>
      <c r="C606" s="78" t="s">
        <v>2192</v>
      </c>
      <c r="D606" s="65" t="s">
        <v>1894</v>
      </c>
      <c r="E606" s="58" t="s">
        <v>2366</v>
      </c>
      <c r="F606" s="77" t="s">
        <v>2367</v>
      </c>
      <c r="G606" s="242" t="s">
        <v>1925</v>
      </c>
      <c r="H606" s="10"/>
      <c r="I606" s="62">
        <v>137.51220174000002</v>
      </c>
      <c r="J606" s="62">
        <v>118.54500150000001</v>
      </c>
      <c r="K606" s="62">
        <v>150.94730191000002</v>
      </c>
      <c r="L606" s="49">
        <v>1839.4819739292791</v>
      </c>
      <c r="M606" s="49">
        <v>1822.6357784994393</v>
      </c>
      <c r="N606" s="49">
        <v>1809.2699713793343</v>
      </c>
      <c r="O606" s="61">
        <v>15.997611278353121</v>
      </c>
      <c r="P606" s="60"/>
      <c r="Q606" s="67" t="s">
        <v>2392</v>
      </c>
      <c r="R606" s="9">
        <v>5.9504392626400007</v>
      </c>
      <c r="S606" s="67" t="s">
        <v>2392</v>
      </c>
      <c r="T606" s="9">
        <v>11.900878525280001</v>
      </c>
      <c r="U606" s="67" t="s">
        <v>2392</v>
      </c>
      <c r="V606" s="9">
        <v>8</v>
      </c>
      <c r="W606" s="78" t="s">
        <v>253</v>
      </c>
      <c r="X606" s="9">
        <v>75.256588939600007</v>
      </c>
      <c r="Y606" s="76" t="s">
        <v>160</v>
      </c>
      <c r="Z606" s="9">
        <v>22.335285611733337</v>
      </c>
      <c r="AA606" s="67" t="s">
        <v>66</v>
      </c>
      <c r="AB606" s="67" t="s">
        <v>160</v>
      </c>
      <c r="AC606" s="9">
        <v>15.285010553318919</v>
      </c>
      <c r="AD606" s="78" t="s">
        <v>254</v>
      </c>
      <c r="AE606" s="76" t="s">
        <v>160</v>
      </c>
      <c r="AF606" s="9">
        <v>15.285010553318919</v>
      </c>
      <c r="AG606" s="67" t="s">
        <v>66</v>
      </c>
      <c r="AH606" s="66" t="s">
        <v>253</v>
      </c>
      <c r="AI606" s="9">
        <v>15.191581697725891</v>
      </c>
      <c r="AJ606" s="66" t="s">
        <v>254</v>
      </c>
      <c r="AK606" s="78" t="s">
        <v>253</v>
      </c>
      <c r="AL606" s="9">
        <v>15.191581697725891</v>
      </c>
      <c r="AM606" s="67" t="s">
        <v>66</v>
      </c>
      <c r="AN606" s="15" t="s">
        <v>1480</v>
      </c>
      <c r="AO606" s="9">
        <v>14.005227080824179</v>
      </c>
      <c r="AP606" s="60"/>
      <c r="AQ606" s="67" t="s">
        <v>2392</v>
      </c>
      <c r="AR606" s="9">
        <v>5.2903806942880012</v>
      </c>
      <c r="AS606" s="67" t="s">
        <v>2392</v>
      </c>
      <c r="AT606" s="9">
        <v>5.2903806942880012</v>
      </c>
      <c r="AU606" s="78" t="s">
        <v>254</v>
      </c>
      <c r="AV606" s="9">
        <v>3</v>
      </c>
      <c r="AW606" s="66" t="s">
        <v>253</v>
      </c>
      <c r="AX606" s="9">
        <v>97.533565621480022</v>
      </c>
      <c r="AY606" s="76" t="s">
        <v>160</v>
      </c>
      <c r="AZ606" s="9">
        <v>1.7361522777152003</v>
      </c>
      <c r="BA606" s="78" t="s">
        <v>254</v>
      </c>
      <c r="BB606" s="76" t="s">
        <v>160</v>
      </c>
      <c r="BC606" s="9">
        <v>9.9045637051260407</v>
      </c>
      <c r="BD606" s="78" t="s">
        <v>254</v>
      </c>
      <c r="BE606" s="78" t="s">
        <v>253</v>
      </c>
      <c r="BF606" s="9">
        <v>9.6829133098685727</v>
      </c>
      <c r="BG606" s="78" t="s">
        <v>254</v>
      </c>
      <c r="BH606" s="15" t="s">
        <v>1480</v>
      </c>
      <c r="BI606" s="9">
        <v>9.1855947456810547</v>
      </c>
      <c r="BJ606" s="67" t="s">
        <v>66</v>
      </c>
      <c r="BK606" s="76" t="s">
        <v>160</v>
      </c>
      <c r="BL606" s="9">
        <v>8.4256588939600014</v>
      </c>
      <c r="BM606" s="67" t="s">
        <v>66</v>
      </c>
      <c r="BN606" s="78" t="s">
        <v>253</v>
      </c>
      <c r="BO606" s="9">
        <v>8.265967304842583</v>
      </c>
    </row>
    <row r="607" spans="1:67" x14ac:dyDescent="0.45">
      <c r="A607" s="10">
        <v>635</v>
      </c>
      <c r="B607" s="10" t="s">
        <v>346</v>
      </c>
      <c r="C607" s="78" t="s">
        <v>2192</v>
      </c>
      <c r="D607" s="65" t="s">
        <v>1894</v>
      </c>
      <c r="E607" s="58" t="s">
        <v>2366</v>
      </c>
      <c r="F607" s="77" t="s">
        <v>2367</v>
      </c>
      <c r="G607" s="242" t="s">
        <v>1925</v>
      </c>
      <c r="H607" s="10"/>
      <c r="I607" s="62">
        <v>214.17130271000002</v>
      </c>
      <c r="J607" s="62">
        <v>160.43090203</v>
      </c>
      <c r="K607" s="62">
        <v>178.60780226</v>
      </c>
      <c r="L607" s="49">
        <v>3625.3964426806078</v>
      </c>
      <c r="M607" s="49">
        <v>3351.967662174854</v>
      </c>
      <c r="N607" s="49">
        <v>3148.1489550356218</v>
      </c>
      <c r="O607" s="61">
        <v>24.692733342451863</v>
      </c>
      <c r="P607" s="60"/>
      <c r="Q607" s="67" t="s">
        <v>2392</v>
      </c>
      <c r="R607" s="9">
        <v>8.7101668975600006</v>
      </c>
      <c r="S607" s="67" t="s">
        <v>2392</v>
      </c>
      <c r="T607" s="9">
        <v>17.420333795120001</v>
      </c>
      <c r="U607" s="67" t="s">
        <v>2392</v>
      </c>
      <c r="V607" s="9">
        <v>8</v>
      </c>
      <c r="W607" s="78" t="s">
        <v>253</v>
      </c>
      <c r="X607" s="9">
        <v>116.65250346340001</v>
      </c>
      <c r="Y607" s="59" t="s">
        <v>180</v>
      </c>
      <c r="Z607" s="9">
        <v>40.031722724074072</v>
      </c>
      <c r="AA607" s="67" t="s">
        <v>66</v>
      </c>
      <c r="AB607" s="67" t="s">
        <v>160</v>
      </c>
      <c r="AC607" s="9">
        <v>22.992358002194596</v>
      </c>
      <c r="AD607" s="78" t="s">
        <v>254</v>
      </c>
      <c r="AE607" s="76" t="s">
        <v>160</v>
      </c>
      <c r="AF607" s="9">
        <v>22.992358002194596</v>
      </c>
      <c r="AG607" s="67" t="s">
        <v>66</v>
      </c>
      <c r="AH607" s="66" t="s">
        <v>253</v>
      </c>
      <c r="AI607" s="9">
        <v>22.89640504394924</v>
      </c>
      <c r="AJ607" s="66" t="s">
        <v>254</v>
      </c>
      <c r="AK607" s="78" t="s">
        <v>253</v>
      </c>
      <c r="AL607" s="9">
        <v>22.89640504394924</v>
      </c>
      <c r="AM607" s="67" t="s">
        <v>66</v>
      </c>
      <c r="AN607" s="53" t="s">
        <v>180</v>
      </c>
      <c r="AO607" s="9">
        <v>21.436830512763162</v>
      </c>
      <c r="AP607" s="60"/>
      <c r="AQ607" s="67" t="s">
        <v>2392</v>
      </c>
      <c r="AR607" s="9">
        <v>7.6821446445520012</v>
      </c>
      <c r="AS607" s="67" t="s">
        <v>2392</v>
      </c>
      <c r="AT607" s="9">
        <v>7.6821446445520012</v>
      </c>
      <c r="AU607" s="78" t="s">
        <v>254</v>
      </c>
      <c r="AV607" s="9">
        <v>3</v>
      </c>
      <c r="AW607" s="53" t="s">
        <v>180</v>
      </c>
      <c r="AX607" s="9">
        <v>154.13248143765003</v>
      </c>
      <c r="AY607" s="76" t="s">
        <v>160</v>
      </c>
      <c r="AZ607" s="9">
        <v>2.6928578578208002</v>
      </c>
      <c r="BA607" s="78" t="s">
        <v>254</v>
      </c>
      <c r="BB607" s="76" t="s">
        <v>160</v>
      </c>
      <c r="BC607" s="9">
        <v>14.868602092466416</v>
      </c>
      <c r="BD607" s="78" t="s">
        <v>254</v>
      </c>
      <c r="BE607" s="78" t="s">
        <v>253</v>
      </c>
      <c r="BF607" s="9">
        <v>14.523387971117145</v>
      </c>
      <c r="BG607" s="78" t="s">
        <v>254</v>
      </c>
      <c r="BH607" s="53" t="s">
        <v>180</v>
      </c>
      <c r="BI607" s="9">
        <v>14.143188914835738</v>
      </c>
      <c r="BJ607" s="67" t="s">
        <v>66</v>
      </c>
      <c r="BK607" s="76" t="s">
        <v>160</v>
      </c>
      <c r="BL607" s="9">
        <v>12.565250346340001</v>
      </c>
      <c r="BM607" s="67" t="s">
        <v>66</v>
      </c>
      <c r="BN607" s="78" t="s">
        <v>253</v>
      </c>
      <c r="BO607" s="9">
        <v>12.316535285128388</v>
      </c>
    </row>
    <row r="608" spans="1:67" x14ac:dyDescent="0.45">
      <c r="A608" s="10">
        <v>638</v>
      </c>
      <c r="B608" s="10" t="s">
        <v>343</v>
      </c>
      <c r="C608" s="58" t="s">
        <v>2183</v>
      </c>
      <c r="D608" s="65"/>
      <c r="E608" s="58" t="s">
        <v>2343</v>
      </c>
      <c r="F608" s="64" t="s">
        <v>2352</v>
      </c>
      <c r="G608" s="63" t="s">
        <v>2353</v>
      </c>
      <c r="H608" s="10"/>
      <c r="I608" s="62">
        <v>163.59210207000001</v>
      </c>
      <c r="J608" s="62">
        <v>192.83320244000001</v>
      </c>
      <c r="K608" s="62">
        <v>177.02720224000001</v>
      </c>
      <c r="L608" s="49">
        <v>3022.548251940651</v>
      </c>
      <c r="M608" s="49">
        <v>3147.6717400310959</v>
      </c>
      <c r="N608" s="49">
        <v>3251.4897463651364</v>
      </c>
      <c r="O608" s="61">
        <v>28.618185893136079</v>
      </c>
      <c r="P608" s="60"/>
      <c r="Q608" s="57" t="s">
        <v>95</v>
      </c>
      <c r="R608" s="9">
        <v>10.8155261242</v>
      </c>
      <c r="S608" s="53" t="s">
        <v>56</v>
      </c>
      <c r="T608" s="9">
        <v>12.646315570514286</v>
      </c>
      <c r="U608" s="53" t="s">
        <v>56</v>
      </c>
      <c r="V608" s="9">
        <v>10</v>
      </c>
      <c r="W608" s="58" t="s">
        <v>216</v>
      </c>
      <c r="X608" s="9">
        <v>99.155261242000009</v>
      </c>
      <c r="Y608" s="58" t="s">
        <v>216</v>
      </c>
      <c r="Z608" s="9">
        <v>43.110983148695659</v>
      </c>
      <c r="AA608" s="53" t="s">
        <v>56</v>
      </c>
      <c r="AB608" s="55" t="s">
        <v>216</v>
      </c>
      <c r="AC608" s="9">
        <v>18.120435525968752</v>
      </c>
      <c r="AD608" s="59" t="s">
        <v>56</v>
      </c>
      <c r="AE608" s="59" t="s">
        <v>184</v>
      </c>
      <c r="AF608" s="9">
        <v>17.844164434459628</v>
      </c>
      <c r="AG608" s="53" t="s">
        <v>56</v>
      </c>
      <c r="AH608" s="52" t="s">
        <v>87</v>
      </c>
      <c r="AI608" s="9">
        <v>16.842372228546878</v>
      </c>
      <c r="AJ608" s="57" t="s">
        <v>95</v>
      </c>
      <c r="AK608" s="58" t="s">
        <v>216</v>
      </c>
      <c r="AL608" s="9">
        <v>15.587257329624061</v>
      </c>
      <c r="AM608" s="57" t="s">
        <v>95</v>
      </c>
      <c r="AN608" s="53" t="s">
        <v>184</v>
      </c>
      <c r="AO608" s="9">
        <v>15.401457752189188</v>
      </c>
      <c r="AP608" s="60"/>
      <c r="AQ608" s="57" t="s">
        <v>95</v>
      </c>
      <c r="AR608" s="9">
        <v>9.5067893076400001</v>
      </c>
      <c r="AS608" s="53" t="s">
        <v>56</v>
      </c>
      <c r="AT608" s="9">
        <v>3.6900459903650003</v>
      </c>
      <c r="AU608" s="59" t="s">
        <v>56</v>
      </c>
      <c r="AV608" s="9">
        <v>3</v>
      </c>
      <c r="AW608" s="55" t="s">
        <v>216</v>
      </c>
      <c r="AX608" s="9">
        <v>128.60183961460001</v>
      </c>
      <c r="AY608" s="58" t="s">
        <v>216</v>
      </c>
      <c r="AZ608" s="9">
        <v>2.8578186581022225</v>
      </c>
      <c r="BA608" s="59" t="s">
        <v>56</v>
      </c>
      <c r="BB608" s="58" t="s">
        <v>216</v>
      </c>
      <c r="BC608" s="9">
        <v>11.497033091879688</v>
      </c>
      <c r="BD608" s="59" t="s">
        <v>56</v>
      </c>
      <c r="BE608" s="56" t="s">
        <v>87</v>
      </c>
      <c r="BF608" s="9">
        <v>9.0509849742512944</v>
      </c>
      <c r="BG608" s="59" t="s">
        <v>56</v>
      </c>
      <c r="BH608" s="53" t="s">
        <v>184</v>
      </c>
      <c r="BI608" s="9">
        <v>8.5937011831869814</v>
      </c>
      <c r="BJ608" s="57" t="s">
        <v>95</v>
      </c>
      <c r="BK608" s="58" t="s">
        <v>216</v>
      </c>
      <c r="BL608" s="9">
        <v>8.5065004009319161</v>
      </c>
      <c r="BM608" s="57" t="s">
        <v>95</v>
      </c>
      <c r="BN608" s="56" t="s">
        <v>87</v>
      </c>
      <c r="BO608" s="9">
        <v>6.8238749122409352</v>
      </c>
    </row>
    <row r="609" spans="1:67" x14ac:dyDescent="0.45">
      <c r="A609" s="10">
        <v>639</v>
      </c>
      <c r="B609" s="10" t="s">
        <v>1747</v>
      </c>
      <c r="C609" s="58" t="s">
        <v>2193</v>
      </c>
      <c r="D609" s="65"/>
      <c r="E609" s="58" t="s">
        <v>2368</v>
      </c>
      <c r="F609" s="64" t="s">
        <v>2369</v>
      </c>
      <c r="G609" s="242"/>
      <c r="H609" s="10"/>
      <c r="I609" s="62">
        <v>217.33250275</v>
      </c>
      <c r="J609" s="62">
        <v>163.59210207000001</v>
      </c>
      <c r="K609" s="62">
        <v>177.02720224000001</v>
      </c>
      <c r="L609" s="49">
        <v>3698.5019379007363</v>
      </c>
      <c r="M609" s="49">
        <v>3408.9294497380447</v>
      </c>
      <c r="N609" s="49">
        <v>3193.6825358779211</v>
      </c>
      <c r="O609" s="61">
        <v>24.888663378251781</v>
      </c>
      <c r="P609" s="60"/>
      <c r="Q609" s="52" t="s">
        <v>249</v>
      </c>
      <c r="R609" s="9">
        <v>21.863920264000001</v>
      </c>
      <c r="S609" s="52" t="s">
        <v>249</v>
      </c>
      <c r="T609" s="9">
        <v>18.219933553333334</v>
      </c>
      <c r="U609" s="57" t="s">
        <v>95</v>
      </c>
      <c r="V609" s="9">
        <v>9.0909999999999993</v>
      </c>
      <c r="W609" s="80" t="s">
        <v>79</v>
      </c>
      <c r="X609" s="9">
        <v>153.13275192500001</v>
      </c>
      <c r="Y609" s="58" t="s">
        <v>216</v>
      </c>
      <c r="Z609" s="9">
        <v>57.130218108695651</v>
      </c>
      <c r="AA609" s="52" t="s">
        <v>249</v>
      </c>
      <c r="AB609" s="52" t="s">
        <v>40</v>
      </c>
      <c r="AC609" s="9">
        <v>23.722461075490198</v>
      </c>
      <c r="AD609" s="56" t="s">
        <v>249</v>
      </c>
      <c r="AE609" s="58" t="s">
        <v>216</v>
      </c>
      <c r="AF609" s="9">
        <v>23.219579054860336</v>
      </c>
      <c r="AG609" s="52" t="s">
        <v>249</v>
      </c>
      <c r="AH609" s="71" t="s">
        <v>79</v>
      </c>
      <c r="AI609" s="9">
        <v>22.779360174843752</v>
      </c>
      <c r="AJ609" s="57" t="s">
        <v>95</v>
      </c>
      <c r="AK609" s="56" t="s">
        <v>40</v>
      </c>
      <c r="AL609" s="9">
        <v>21.404799042073169</v>
      </c>
      <c r="AM609" s="57" t="s">
        <v>95</v>
      </c>
      <c r="AN609" s="55" t="s">
        <v>216</v>
      </c>
      <c r="AO609" s="9">
        <v>20.436015285714284</v>
      </c>
      <c r="AP609" s="60"/>
      <c r="AQ609" s="52" t="s">
        <v>249</v>
      </c>
      <c r="AR609" s="9">
        <v>21.342322257399999</v>
      </c>
      <c r="AS609" s="52" t="s">
        <v>249</v>
      </c>
      <c r="AT609" s="9">
        <v>7.1141074191333331</v>
      </c>
      <c r="AU609" s="56" t="s">
        <v>249</v>
      </c>
      <c r="AV609" s="9">
        <v>2.6666666666666998</v>
      </c>
      <c r="AW609" s="55" t="s">
        <v>2483</v>
      </c>
      <c r="AX609" s="9">
        <v>170.519352145</v>
      </c>
      <c r="AY609" s="58" t="s">
        <v>216</v>
      </c>
      <c r="AZ609" s="9">
        <v>3.7893189365555555</v>
      </c>
      <c r="BA609" s="56" t="s">
        <v>249</v>
      </c>
      <c r="BB609" s="58" t="s">
        <v>216</v>
      </c>
      <c r="BC609" s="9">
        <v>16.255659571629369</v>
      </c>
      <c r="BD609" s="56" t="s">
        <v>249</v>
      </c>
      <c r="BE609" s="56" t="s">
        <v>40</v>
      </c>
      <c r="BF609" s="9">
        <v>14.358939547629371</v>
      </c>
      <c r="BG609" s="56" t="s">
        <v>249</v>
      </c>
      <c r="BH609" s="71" t="s">
        <v>79</v>
      </c>
      <c r="BI609" s="9">
        <v>13.553722974832512</v>
      </c>
      <c r="BJ609" s="57" t="s">
        <v>95</v>
      </c>
      <c r="BK609" s="58" t="s">
        <v>216</v>
      </c>
      <c r="BL609" s="9">
        <v>11.18208630712766</v>
      </c>
      <c r="BM609" s="57" t="s">
        <v>95</v>
      </c>
      <c r="BN609" s="56" t="s">
        <v>40</v>
      </c>
      <c r="BO609" s="9">
        <v>9.7393684165319154</v>
      </c>
    </row>
    <row r="610" spans="1:67" x14ac:dyDescent="0.45">
      <c r="A610" s="10">
        <v>640</v>
      </c>
      <c r="B610" s="10" t="s">
        <v>2603</v>
      </c>
      <c r="C610" s="58" t="s">
        <v>2164</v>
      </c>
      <c r="D610" s="287" t="s">
        <v>1890</v>
      </c>
      <c r="E610" s="63" t="s">
        <v>2323</v>
      </c>
      <c r="F610" s="80" t="s">
        <v>2324</v>
      </c>
      <c r="G610" s="242"/>
      <c r="H610" s="10"/>
      <c r="I610" s="62">
        <v>163.59210207000001</v>
      </c>
      <c r="J610" s="62">
        <v>192.83320244000001</v>
      </c>
      <c r="K610" s="62">
        <v>177.02720224000001</v>
      </c>
      <c r="L610" s="49">
        <v>3022.548251940651</v>
      </c>
      <c r="M610" s="49">
        <v>3147.6717400310959</v>
      </c>
      <c r="N610" s="49">
        <v>3251.4897463651364</v>
      </c>
      <c r="O610" s="61">
        <v>28.618185893136079</v>
      </c>
      <c r="P610" s="60"/>
      <c r="Q610" s="57" t="s">
        <v>95</v>
      </c>
      <c r="R610" s="9">
        <v>10.8155261242</v>
      </c>
      <c r="S610" s="57" t="s">
        <v>95</v>
      </c>
      <c r="T610" s="9">
        <v>9.8322964765454532</v>
      </c>
      <c r="U610" s="15" t="s">
        <v>291</v>
      </c>
      <c r="V610" s="9">
        <v>12.5</v>
      </c>
      <c r="W610" s="58" t="s">
        <v>216</v>
      </c>
      <c r="X610" s="9">
        <v>99.155261242000009</v>
      </c>
      <c r="Y610" s="58" t="s">
        <v>216</v>
      </c>
      <c r="Z610" s="9">
        <v>43.110983148695659</v>
      </c>
      <c r="AA610" s="15" t="s">
        <v>291</v>
      </c>
      <c r="AB610" s="72" t="s">
        <v>169</v>
      </c>
      <c r="AC610" s="9">
        <v>18.721242726065793</v>
      </c>
      <c r="AD610" s="242" t="s">
        <v>95</v>
      </c>
      <c r="AE610" s="79" t="s">
        <v>169</v>
      </c>
      <c r="AF610" s="9">
        <v>17.433039002758242</v>
      </c>
      <c r="AG610" s="15" t="s">
        <v>291</v>
      </c>
      <c r="AH610" s="55" t="s">
        <v>216</v>
      </c>
      <c r="AI610" s="9">
        <v>16.950689521359223</v>
      </c>
      <c r="AJ610" s="57" t="s">
        <v>95</v>
      </c>
      <c r="AK610" s="58" t="s">
        <v>216</v>
      </c>
      <c r="AL610" s="9">
        <v>15.587257329624061</v>
      </c>
      <c r="AM610" s="15" t="s">
        <v>291</v>
      </c>
      <c r="AN610" s="52" t="s">
        <v>87</v>
      </c>
      <c r="AO610" s="9">
        <v>15.362416685728157</v>
      </c>
      <c r="AP610" s="60"/>
      <c r="AQ610" s="57" t="s">
        <v>95</v>
      </c>
      <c r="AR610" s="9">
        <v>9.5067893076400001</v>
      </c>
      <c r="AS610" s="57" t="s">
        <v>95</v>
      </c>
      <c r="AT610" s="9">
        <v>3.1689297692133334</v>
      </c>
      <c r="AU610" s="64" t="s">
        <v>291</v>
      </c>
      <c r="AV610" s="9">
        <v>3.5</v>
      </c>
      <c r="AW610" s="55" t="s">
        <v>216</v>
      </c>
      <c r="AX610" s="9">
        <v>128.60183961460001</v>
      </c>
      <c r="AY610" s="58" t="s">
        <v>216</v>
      </c>
      <c r="AZ610" s="9">
        <v>2.8578186581022225</v>
      </c>
      <c r="BA610" s="64" t="s">
        <v>291</v>
      </c>
      <c r="BB610" s="58" t="s">
        <v>216</v>
      </c>
      <c r="BC610" s="9">
        <v>12.210993057521392</v>
      </c>
      <c r="BD610" s="64" t="s">
        <v>291</v>
      </c>
      <c r="BE610" s="79" t="s">
        <v>169</v>
      </c>
      <c r="BF610" s="9">
        <v>11.082273119690456</v>
      </c>
      <c r="BG610" s="64" t="s">
        <v>291</v>
      </c>
      <c r="BH610" s="52" t="s">
        <v>87</v>
      </c>
      <c r="BI610" s="9">
        <v>9.3911533920395289</v>
      </c>
      <c r="BJ610" s="57" t="s">
        <v>95</v>
      </c>
      <c r="BK610" s="58" t="s">
        <v>216</v>
      </c>
      <c r="BL610" s="9">
        <v>8.5065004009319161</v>
      </c>
      <c r="BM610" s="57" t="s">
        <v>95</v>
      </c>
      <c r="BN610" s="79" t="s">
        <v>169</v>
      </c>
      <c r="BO610" s="9">
        <v>7.8798680373758572</v>
      </c>
    </row>
    <row r="611" spans="1:67" x14ac:dyDescent="0.45">
      <c r="A611" s="10">
        <v>808</v>
      </c>
      <c r="B611" s="10" t="s">
        <v>340</v>
      </c>
      <c r="C611" s="59" t="s">
        <v>1886</v>
      </c>
      <c r="D611" s="65"/>
      <c r="E611" s="58" t="s">
        <v>2343</v>
      </c>
      <c r="F611" s="64" t="s">
        <v>2344</v>
      </c>
      <c r="G611" s="63" t="s">
        <v>1971</v>
      </c>
      <c r="H611" s="10"/>
      <c r="I611" s="62">
        <v>105.10990133000001</v>
      </c>
      <c r="J611" s="62">
        <v>90.09420114000001</v>
      </c>
      <c r="K611" s="62">
        <v>114.59350145000001</v>
      </c>
      <c r="L611" s="49">
        <v>1068.0019425651085</v>
      </c>
      <c r="M611" s="49">
        <v>1056.0074235604288</v>
      </c>
      <c r="N611" s="49">
        <v>1046.5088710350542</v>
      </c>
      <c r="O611" s="61">
        <v>9.4709337579966189</v>
      </c>
      <c r="P611" s="60"/>
      <c r="Q611" s="51" t="s">
        <v>115</v>
      </c>
      <c r="R611" s="9">
        <v>3.6277475332500004</v>
      </c>
      <c r="S611" s="51" t="s">
        <v>115</v>
      </c>
      <c r="T611" s="9">
        <v>6.0462458887500006</v>
      </c>
      <c r="U611" s="51" t="s">
        <v>115</v>
      </c>
      <c r="V611" s="9">
        <v>13.333</v>
      </c>
      <c r="W611" s="59" t="s">
        <v>180</v>
      </c>
      <c r="X611" s="9">
        <v>64.065940798</v>
      </c>
      <c r="Y611" s="59" t="s">
        <v>180</v>
      </c>
      <c r="Z611" s="9">
        <v>23.728126221481478</v>
      </c>
      <c r="AA611" s="51" t="s">
        <v>115</v>
      </c>
      <c r="AB611" s="53" t="s">
        <v>180</v>
      </c>
      <c r="AC611" s="9">
        <v>10.593015117166667</v>
      </c>
      <c r="AD611" s="290" t="s">
        <v>115</v>
      </c>
      <c r="AE611" s="290" t="s">
        <v>182</v>
      </c>
      <c r="AF611" s="9">
        <v>10.51478121837</v>
      </c>
      <c r="AI611" s="9"/>
      <c r="AK611" s="78"/>
      <c r="AL611" s="9"/>
      <c r="AO611" s="9"/>
      <c r="AP611" s="60"/>
      <c r="AQ611" s="51" t="s">
        <v>115</v>
      </c>
      <c r="AR611" s="9">
        <v>3.0496430759350002</v>
      </c>
      <c r="AS611" s="51" t="s">
        <v>115</v>
      </c>
      <c r="AT611" s="9">
        <v>1.5248215379675001</v>
      </c>
      <c r="AU611" s="290" t="s">
        <v>115</v>
      </c>
      <c r="AV611" s="9">
        <v>4.5</v>
      </c>
      <c r="AW611" s="53" t="s">
        <v>180</v>
      </c>
      <c r="AX611" s="9">
        <v>91.184295341140015</v>
      </c>
      <c r="AY611" s="59" t="s">
        <v>180</v>
      </c>
      <c r="AZ611" s="9">
        <v>1.4028353129406157</v>
      </c>
      <c r="BA611" s="290" t="s">
        <v>115</v>
      </c>
      <c r="BB611" s="59" t="s">
        <v>180</v>
      </c>
      <c r="BC611" s="9">
        <v>7.3301112086765121</v>
      </c>
      <c r="BD611" s="290" t="s">
        <v>115</v>
      </c>
      <c r="BE611" s="290" t="s">
        <v>182</v>
      </c>
      <c r="BF611" s="9">
        <v>6.1355798292342447</v>
      </c>
      <c r="BG611" s="78"/>
      <c r="BI611" s="9"/>
      <c r="BK611" s="76"/>
      <c r="BL611" s="9"/>
      <c r="BN611" s="78"/>
      <c r="BO611" s="9"/>
    </row>
    <row r="612" spans="1:67" x14ac:dyDescent="0.45">
      <c r="A612" s="10">
        <v>809</v>
      </c>
      <c r="B612" s="10" t="s">
        <v>338</v>
      </c>
      <c r="C612" s="59" t="s">
        <v>1886</v>
      </c>
      <c r="D612" s="65"/>
      <c r="E612" s="58" t="s">
        <v>2343</v>
      </c>
      <c r="F612" s="64" t="s">
        <v>2344</v>
      </c>
      <c r="G612" s="63" t="s">
        <v>1971</v>
      </c>
      <c r="H612" s="10"/>
      <c r="I612" s="62">
        <v>190.46230241000001</v>
      </c>
      <c r="J612" s="62">
        <v>162.01150205000002</v>
      </c>
      <c r="K612" s="62">
        <v>220.49370279000001</v>
      </c>
      <c r="L612" s="49">
        <v>3599.813900278531</v>
      </c>
      <c r="M612" s="49">
        <v>3590.6029178446165</v>
      </c>
      <c r="N612" s="49">
        <v>3583.2511041110834</v>
      </c>
      <c r="O612" s="61">
        <v>30.741964187577452</v>
      </c>
      <c r="P612" s="60"/>
      <c r="Q612" s="51" t="s">
        <v>115</v>
      </c>
      <c r="R612" s="9">
        <v>5.76155756025</v>
      </c>
      <c r="S612" s="51" t="s">
        <v>115</v>
      </c>
      <c r="T612" s="9">
        <v>9.6025959337500009</v>
      </c>
      <c r="U612" s="51" t="s">
        <v>115</v>
      </c>
      <c r="V612" s="9">
        <v>13.333</v>
      </c>
      <c r="W612" s="64" t="s">
        <v>112</v>
      </c>
      <c r="X612" s="9">
        <v>143.8467268075</v>
      </c>
      <c r="Y612" s="59" t="s">
        <v>180</v>
      </c>
      <c r="Z612" s="9">
        <v>42.695326461481478</v>
      </c>
      <c r="AA612" s="51" t="s">
        <v>115</v>
      </c>
      <c r="AB612" s="15" t="s">
        <v>112</v>
      </c>
      <c r="AC612" s="9">
        <v>18.857497852650862</v>
      </c>
      <c r="AD612" s="290" t="s">
        <v>115</v>
      </c>
      <c r="AE612" s="59" t="s">
        <v>180</v>
      </c>
      <c r="AF612" s="9">
        <v>18.112155212309524</v>
      </c>
      <c r="AG612" s="51" t="s">
        <v>115</v>
      </c>
      <c r="AH612" s="51" t="s">
        <v>182</v>
      </c>
      <c r="AI612" s="9">
        <v>18.111144914490001</v>
      </c>
      <c r="AJ612" s="51" t="s">
        <v>115</v>
      </c>
      <c r="AK612" s="56" t="s">
        <v>40</v>
      </c>
      <c r="AL612" s="9">
        <v>17.549559025668604</v>
      </c>
      <c r="AM612" s="51" t="s">
        <v>115</v>
      </c>
      <c r="AN612" s="55" t="s">
        <v>1774</v>
      </c>
      <c r="AO612" s="9">
        <v>17.474994559379631</v>
      </c>
      <c r="AP612" s="60"/>
      <c r="AQ612" s="51" t="s">
        <v>115</v>
      </c>
      <c r="AR612" s="9">
        <v>4.7140148969950006</v>
      </c>
      <c r="AS612" s="51" t="s">
        <v>115</v>
      </c>
      <c r="AT612" s="9">
        <v>2.3570074484975003</v>
      </c>
      <c r="AU612" s="290" t="s">
        <v>115</v>
      </c>
      <c r="AV612" s="9">
        <v>4.5</v>
      </c>
      <c r="AW612" s="15" t="s">
        <v>112</v>
      </c>
      <c r="AX612" s="9">
        <v>186.70074484975001</v>
      </c>
      <c r="AY612" s="58" t="s">
        <v>1774</v>
      </c>
      <c r="AZ612" s="9">
        <v>2.6557605520381253</v>
      </c>
      <c r="BA612" s="290" t="s">
        <v>115</v>
      </c>
      <c r="BB612" s="58" t="s">
        <v>1774</v>
      </c>
      <c r="BC612" s="9">
        <v>12.861060613635113</v>
      </c>
      <c r="BD612" s="290" t="s">
        <v>115</v>
      </c>
      <c r="BE612" s="59" t="s">
        <v>180</v>
      </c>
      <c r="BF612" s="9">
        <v>12.850078183558958</v>
      </c>
      <c r="BG612" s="290" t="s">
        <v>115</v>
      </c>
      <c r="BH612" s="15" t="s">
        <v>112</v>
      </c>
      <c r="BI612" s="9">
        <v>12.174129558623374</v>
      </c>
      <c r="BJ612" s="51" t="s">
        <v>115</v>
      </c>
      <c r="BK612" s="56" t="s">
        <v>40</v>
      </c>
      <c r="BL612" s="9">
        <v>11.237315612561366</v>
      </c>
      <c r="BM612" s="51" t="s">
        <v>115</v>
      </c>
      <c r="BN612" s="290" t="s">
        <v>182</v>
      </c>
      <c r="BO612" s="9">
        <v>10.68113312204517</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F1:AF1048576 AI1:AI1048576 AL1:AL1048576 AO1:AO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R1:AR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T1:AT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AV1:AV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AX1:AX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AZ1:AZ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C1:BC1048576 BF1:BF1048576 BI1:BI1048576 BL1:BL1048576 BO1:BO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AF1:AF1048576 AI1:AI1048576 AL1:AL1048576 AO1:AO1048576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AR1:AR1048576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AT1:AT1048576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AV1:AV1048576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AX1:AX1048576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AZ1:AZ1048576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BC1:BC1048576 BF1:BF1048576 BI1:BI1048576 BL1:BL1048576 BO1:BO1048576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2"/>
      <c r="C1" s="292"/>
      <c r="D1" s="1" t="s">
        <v>1552</v>
      </c>
      <c r="E1" s="22"/>
      <c r="Z1" s="1" t="s">
        <v>2584</v>
      </c>
      <c r="AA1" s="357" t="s">
        <v>2585</v>
      </c>
      <c r="AB1" s="357" t="s">
        <v>2586</v>
      </c>
      <c r="AC1" s="357" t="s">
        <v>2587</v>
      </c>
    </row>
    <row r="2" spans="1:29" x14ac:dyDescent="0.45">
      <c r="AA2" s="356" t="s">
        <v>2598</v>
      </c>
      <c r="AB2" s="356" t="s">
        <v>2589</v>
      </c>
      <c r="AC2" s="356">
        <v>20</v>
      </c>
    </row>
    <row r="75" spans="27:27" x14ac:dyDescent="0.45">
      <c r="AA75" s="1" t="s">
        <v>2590</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7" customWidth="1"/>
    <col min="2" max="2" width="7.6640625" style="87" customWidth="1"/>
    <col min="3" max="3" width="5.44140625" style="460" customWidth="1"/>
    <col min="4" max="4" width="5.44140625" style="90" customWidth="1"/>
    <col min="5" max="5" width="5.44140625" style="91" customWidth="1"/>
    <col min="6" max="6" width="5.44140625" style="92" customWidth="1"/>
    <col min="7" max="7" width="5.44140625" style="89" customWidth="1"/>
    <col min="8" max="8" width="5.44140625" style="91" customWidth="1"/>
    <col min="9" max="9" width="5.44140625" style="460" customWidth="1"/>
    <col min="10" max="11" width="5.44140625" style="90" customWidth="1"/>
    <col min="12" max="13" width="5.44140625" style="89" customWidth="1"/>
    <col min="14" max="14" width="7.88671875" style="465" hidden="1" customWidth="1"/>
    <col min="15" max="15" width="5.5546875" style="90" hidden="1" customWidth="1"/>
    <col min="16" max="16" width="5.5546875" style="89" hidden="1" customWidth="1"/>
    <col min="17" max="17" width="5.5546875" style="87" hidden="1" customWidth="1"/>
    <col min="18" max="18" width="5.5546875" style="88" hidden="1" customWidth="1"/>
    <col min="19" max="20" width="6.5546875" style="87" customWidth="1"/>
    <col min="21" max="21" width="9.5546875" style="87" customWidth="1"/>
    <col min="22" max="28" width="6.5546875" style="87" customWidth="1"/>
    <col min="29" max="16384" width="8.88671875" style="87"/>
  </cols>
  <sheetData>
    <row r="1" spans="1:23" ht="12.75" customHeight="1" x14ac:dyDescent="0.45">
      <c r="A1" s="374"/>
      <c r="B1" s="374"/>
      <c r="C1" s="458" t="s">
        <v>2817</v>
      </c>
      <c r="D1" s="375"/>
      <c r="E1" s="376" t="s">
        <v>2820</v>
      </c>
      <c r="F1" s="377"/>
      <c r="G1" s="378"/>
      <c r="H1" s="376" t="s">
        <v>2832</v>
      </c>
      <c r="I1" s="461" t="s">
        <v>2818</v>
      </c>
      <c r="J1" s="383"/>
      <c r="K1" s="383" t="s">
        <v>2820</v>
      </c>
      <c r="L1" s="384"/>
      <c r="M1" s="384"/>
      <c r="N1" s="463" t="s">
        <v>2822</v>
      </c>
      <c r="O1" s="375" t="s">
        <v>2819</v>
      </c>
      <c r="P1" s="378"/>
      <c r="Q1" s="385" t="s">
        <v>2818</v>
      </c>
      <c r="R1" s="386"/>
    </row>
    <row r="2" spans="1:23" ht="16.5" x14ac:dyDescent="0.45">
      <c r="A2" s="87" t="s">
        <v>1562</v>
      </c>
      <c r="B2" s="87" t="s">
        <v>1550</v>
      </c>
      <c r="C2" s="459" t="s">
        <v>3840</v>
      </c>
      <c r="D2" s="115" t="s">
        <v>3841</v>
      </c>
      <c r="E2" s="114" t="s">
        <v>3842</v>
      </c>
      <c r="F2" s="113" t="s">
        <v>1561</v>
      </c>
      <c r="G2" s="113" t="s">
        <v>1608</v>
      </c>
      <c r="H2" s="114" t="s">
        <v>3843</v>
      </c>
      <c r="I2" s="462" t="s">
        <v>3844</v>
      </c>
      <c r="J2" s="372" t="s">
        <v>3845</v>
      </c>
      <c r="K2" s="372" t="s">
        <v>3846</v>
      </c>
      <c r="L2" s="371" t="s">
        <v>1560</v>
      </c>
      <c r="M2" s="371" t="s">
        <v>1559</v>
      </c>
      <c r="N2" s="464" t="s">
        <v>2823</v>
      </c>
      <c r="O2" s="112" t="s">
        <v>3847</v>
      </c>
      <c r="P2" s="113" t="s">
        <v>3848</v>
      </c>
      <c r="Q2" s="387" t="s">
        <v>3849</v>
      </c>
      <c r="R2" s="388" t="s">
        <v>3850</v>
      </c>
      <c r="T2" s="87" t="s">
        <v>1552</v>
      </c>
      <c r="U2" s="111"/>
      <c r="V2" s="518"/>
      <c r="W2" s="518"/>
    </row>
    <row r="3" spans="1:23" ht="16.5" x14ac:dyDescent="0.45">
      <c r="A3" s="97" t="s">
        <v>1</v>
      </c>
      <c r="B3" s="97" t="s">
        <v>4</v>
      </c>
      <c r="C3" s="460">
        <v>15</v>
      </c>
      <c r="D3" s="90">
        <v>7</v>
      </c>
      <c r="E3" s="91">
        <v>1.1000000000000001</v>
      </c>
      <c r="F3" s="89">
        <v>13.636363636364001</v>
      </c>
      <c r="G3" s="89">
        <v>6.3639999999999999</v>
      </c>
      <c r="H3" s="91">
        <v>0.85</v>
      </c>
      <c r="I3" s="460">
        <v>9</v>
      </c>
      <c r="J3" s="90">
        <v>6</v>
      </c>
      <c r="K3" s="90">
        <v>3</v>
      </c>
      <c r="L3" s="89">
        <v>3</v>
      </c>
      <c r="M3" s="89">
        <v>2</v>
      </c>
      <c r="N3" s="465" t="str">
        <f>IF(OR(通常わざ表[[#This Row],[タイプ]]=$V$2,通常わざ表[[#This Row],[タイプ]]=$W$2),"↑","")</f>
        <v/>
      </c>
      <c r="O3" s="87">
        <f>IF(OR(通常わざ表[[#This Row],[タイプ]]=$V$2,通常わざ表[[#This Row],[タイプ]]=$W$2),通常わざ表[[#This Row],[威力_g]]*タイプ一致係数,通常わざ表[[#This Row],[威力_g]])</f>
        <v>15</v>
      </c>
      <c r="P3" s="89">
        <f>IF(OR(通常わざ表[[#This Row],[タイプ]]=$V$2,通常わざ表[[#This Row],[タイプ]]=$W$2),通常わざ表[[#This Row],[DPS]]*タイプ一致係数,通常わざ表[[#This Row],[DPS]])</f>
        <v>13.636363636364001</v>
      </c>
      <c r="Q3" s="87">
        <f>IF(OR(通常わざ表[[#This Row],[タイプ]]=$V$2,通常わざ表[[#This Row],[タイプ]]=$W$2),通常わざ表[[#This Row],[威力_m]]*タイプ一致係数,通常わざ表[[#This Row],[威力_m]])</f>
        <v>9</v>
      </c>
      <c r="R3" s="88">
        <f>IF(OR(通常わざ表[[#This Row],[タイプ]]=$V$2,通常わざ表[[#This Row],[タイプ]]=$W$2),通常わざ表[[#This Row],[DPT]]*タイプ一致係数,通常わざ表[[#This Row],[DPT]])</f>
        <v>3</v>
      </c>
    </row>
    <row r="4" spans="1:23" ht="16.5" x14ac:dyDescent="0.45">
      <c r="A4" s="93" t="s">
        <v>936</v>
      </c>
      <c r="B4" s="93" t="s">
        <v>68</v>
      </c>
      <c r="C4" s="460">
        <v>0</v>
      </c>
      <c r="D4" s="90">
        <v>15</v>
      </c>
      <c r="E4" s="91">
        <v>1.7</v>
      </c>
      <c r="F4" s="89">
        <v>0</v>
      </c>
      <c r="G4" s="89">
        <v>8.82</v>
      </c>
      <c r="H4" s="91">
        <v>1.5</v>
      </c>
      <c r="I4" s="460">
        <v>0</v>
      </c>
      <c r="J4" s="90">
        <v>12</v>
      </c>
      <c r="K4" s="90">
        <v>4</v>
      </c>
      <c r="L4" s="89">
        <v>0</v>
      </c>
      <c r="M4" s="89">
        <v>3</v>
      </c>
      <c r="N4" s="465" t="str">
        <f>IF(OR(通常わざ表[[#This Row],[タイプ]]=$V$2,通常わざ表[[#This Row],[タイプ]]=$W$2),"↑","")</f>
        <v/>
      </c>
      <c r="O4" s="87">
        <f>IF(OR(通常わざ表[[#This Row],[タイプ]]=$V$2,通常わざ表[[#This Row],[タイプ]]=$W$2),通常わざ表[[#This Row],[威力_g]]*タイプ一致係数,通常わざ表[[#This Row],[威力_g]])</f>
        <v>0</v>
      </c>
      <c r="P4" s="89">
        <f>IF(OR(通常わざ表[[#This Row],[タイプ]]=$V$2,通常わざ表[[#This Row],[タイプ]]=$W$2),通常わざ表[[#This Row],[DPS]]*タイプ一致係数,通常わざ表[[#This Row],[DPS]])</f>
        <v>0</v>
      </c>
      <c r="Q4" s="87">
        <f>IF(OR(通常わざ表[[#This Row],[タイプ]]=$V$2,通常わざ表[[#This Row],[タイプ]]=$W$2),通常わざ表[[#This Row],[威力_m]]*タイプ一致係数,通常わざ表[[#This Row],[威力_m]])</f>
        <v>0</v>
      </c>
      <c r="R4" s="88">
        <f>IF(OR(通常わざ表[[#This Row],[タイプ]]=$V$2,通常わざ表[[#This Row],[タイプ]]=$W$2),通常わざ表[[#This Row],[DPT]]*タイプ一致係数,通常わざ表[[#This Row],[DPT]])</f>
        <v>0</v>
      </c>
    </row>
    <row r="5" spans="1:23" ht="16.5" x14ac:dyDescent="0.45">
      <c r="A5" s="110" t="s">
        <v>161</v>
      </c>
      <c r="B5" s="110" t="s">
        <v>61</v>
      </c>
      <c r="C5" s="460">
        <v>20</v>
      </c>
      <c r="D5" s="90">
        <v>11</v>
      </c>
      <c r="E5" s="91">
        <v>1.5</v>
      </c>
      <c r="F5" s="89">
        <v>13.333333333333</v>
      </c>
      <c r="G5" s="89">
        <v>7.33</v>
      </c>
      <c r="H5" s="91">
        <v>0.9</v>
      </c>
      <c r="I5" s="460">
        <v>16</v>
      </c>
      <c r="J5" s="90">
        <v>6</v>
      </c>
      <c r="K5" s="90">
        <v>3</v>
      </c>
      <c r="L5" s="89">
        <v>5.3333333333333002</v>
      </c>
      <c r="M5" s="89">
        <v>2</v>
      </c>
      <c r="N5" s="465" t="str">
        <f>IF(OR(通常わざ表[[#This Row],[タイプ]]=$V$2,通常わざ表[[#This Row],[タイプ]]=$W$2),"↑","")</f>
        <v/>
      </c>
      <c r="O5" s="87">
        <f>IF(OR(通常わざ表[[#This Row],[タイプ]]=$V$2,通常わざ表[[#This Row],[タイプ]]=$W$2),通常わざ表[[#This Row],[威力_g]]*タイプ一致係数,通常わざ表[[#This Row],[威力_g]])</f>
        <v>20</v>
      </c>
      <c r="P5" s="89">
        <f>IF(OR(通常わざ表[[#This Row],[タイプ]]=$V$2,通常わざ表[[#This Row],[タイプ]]=$W$2),通常わざ表[[#This Row],[DPS]]*タイプ一致係数,通常わざ表[[#This Row],[DPS]])</f>
        <v>13.333333333333</v>
      </c>
      <c r="Q5" s="87">
        <f>IF(OR(通常わざ表[[#This Row],[タイプ]]=$V$2,通常わざ表[[#This Row],[タイプ]]=$W$2),通常わざ表[[#This Row],[威力_m]]*タイプ一致係数,通常わざ表[[#This Row],[威力_m]])</f>
        <v>16</v>
      </c>
      <c r="R5" s="88">
        <f>IF(OR(通常わざ表[[#This Row],[タイプ]]=$V$2,通常わざ表[[#This Row],[タイプ]]=$W$2),通常わざ表[[#This Row],[DPT]]*タイプ一致係数,通常わざ表[[#This Row],[DPT]])</f>
        <v>5.3333333333333002</v>
      </c>
    </row>
    <row r="6" spans="1:23" ht="16.5" x14ac:dyDescent="0.45">
      <c r="A6" s="106" t="s">
        <v>214</v>
      </c>
      <c r="B6" s="106" t="s">
        <v>111</v>
      </c>
      <c r="C6" s="460">
        <v>12</v>
      </c>
      <c r="D6" s="90">
        <v>14</v>
      </c>
      <c r="E6" s="91">
        <v>1.2</v>
      </c>
      <c r="F6" s="89">
        <v>10</v>
      </c>
      <c r="G6" s="89">
        <v>11.667</v>
      </c>
      <c r="H6" s="91">
        <v>0.75</v>
      </c>
      <c r="I6" s="460">
        <v>8</v>
      </c>
      <c r="J6" s="90">
        <v>11</v>
      </c>
      <c r="K6" s="90">
        <v>3</v>
      </c>
      <c r="L6" s="89">
        <v>2.6666666666666998</v>
      </c>
      <c r="M6" s="89">
        <v>3.6666666666666998</v>
      </c>
      <c r="N6" s="465" t="str">
        <f>IF(OR(通常わざ表[[#This Row],[タイプ]]=$V$2,通常わざ表[[#This Row],[タイプ]]=$W$2),"↑","")</f>
        <v/>
      </c>
      <c r="O6" s="87">
        <f>IF(OR(通常わざ表[[#This Row],[タイプ]]=$V$2,通常わざ表[[#This Row],[タイプ]]=$W$2),通常わざ表[[#This Row],[威力_g]]*タイプ一致係数,通常わざ表[[#This Row],[威力_g]])</f>
        <v>12</v>
      </c>
      <c r="P6" s="89">
        <f>IF(OR(通常わざ表[[#This Row],[タイプ]]=$V$2,通常わざ表[[#This Row],[タイプ]]=$W$2),通常わざ表[[#This Row],[DPS]]*タイプ一致係数,通常わざ表[[#This Row],[DPS]])</f>
        <v>10</v>
      </c>
      <c r="Q6" s="87">
        <f>IF(OR(通常わざ表[[#This Row],[タイプ]]=$V$2,通常わざ表[[#This Row],[タイプ]]=$W$2),通常わざ表[[#This Row],[威力_m]]*タイプ一致係数,通常わざ表[[#This Row],[威力_m]])</f>
        <v>8</v>
      </c>
      <c r="R6" s="88">
        <f>IF(OR(通常わざ表[[#This Row],[タイプ]]=$V$2,通常わざ表[[#This Row],[タイプ]]=$W$2),通常わざ表[[#This Row],[DPT]]*タイプ一致係数,通常わざ表[[#This Row],[DPT]])</f>
        <v>2.6666666666666998</v>
      </c>
    </row>
    <row r="7" spans="1:23" ht="16.5" x14ac:dyDescent="0.45">
      <c r="A7" s="93" t="s">
        <v>133</v>
      </c>
      <c r="B7" s="93" t="s">
        <v>68</v>
      </c>
      <c r="C7" s="460">
        <v>5</v>
      </c>
      <c r="D7" s="90">
        <v>5</v>
      </c>
      <c r="E7" s="91">
        <v>0.5</v>
      </c>
      <c r="F7" s="89">
        <v>10</v>
      </c>
      <c r="G7" s="89">
        <v>10</v>
      </c>
      <c r="H7" s="91">
        <v>0.3</v>
      </c>
      <c r="I7" s="460">
        <v>3</v>
      </c>
      <c r="J7" s="90">
        <v>2</v>
      </c>
      <c r="K7" s="90">
        <v>1</v>
      </c>
      <c r="L7" s="89">
        <v>3</v>
      </c>
      <c r="M7" s="89">
        <v>2</v>
      </c>
      <c r="N7" s="465" t="str">
        <f>IF(OR(通常わざ表[[#This Row],[タイプ]]=$V$2,通常わざ表[[#This Row],[タイプ]]=$W$2),"↑","")</f>
        <v/>
      </c>
      <c r="O7" s="87">
        <f>IF(OR(通常わざ表[[#This Row],[タイプ]]=$V$2,通常わざ表[[#This Row],[タイプ]]=$W$2),通常わざ表[[#This Row],[威力_g]]*タイプ一致係数,通常わざ表[[#This Row],[威力_g]])</f>
        <v>5</v>
      </c>
      <c r="P7" s="89">
        <f>IF(OR(通常わざ表[[#This Row],[タイプ]]=$V$2,通常わざ表[[#This Row],[タイプ]]=$W$2),通常わざ表[[#This Row],[DPS]]*タイプ一致係数,通常わざ表[[#This Row],[DPS]])</f>
        <v>10</v>
      </c>
      <c r="Q7" s="87">
        <f>IF(OR(通常わざ表[[#This Row],[タイプ]]=$V$2,通常わざ表[[#This Row],[タイプ]]=$W$2),通常わざ表[[#This Row],[威力_m]]*タイプ一致係数,通常わざ表[[#This Row],[威力_m]])</f>
        <v>3</v>
      </c>
      <c r="R7" s="88">
        <f>IF(OR(通常わざ表[[#This Row],[タイプ]]=$V$2,通常わざ表[[#This Row],[タイプ]]=$W$2),通常わざ表[[#This Row],[DPT]]*タイプ一致係数,通常わざ表[[#This Row],[DPT]])</f>
        <v>3</v>
      </c>
    </row>
    <row r="8" spans="1:23" ht="16.5" x14ac:dyDescent="0.45">
      <c r="A8" s="107" t="s">
        <v>41</v>
      </c>
      <c r="B8" s="107" t="s">
        <v>43</v>
      </c>
      <c r="C8" s="460">
        <v>12</v>
      </c>
      <c r="D8" s="90">
        <v>7</v>
      </c>
      <c r="E8" s="91">
        <v>0.9</v>
      </c>
      <c r="F8" s="89">
        <v>13.333333333333</v>
      </c>
      <c r="G8" s="89">
        <v>7.7779999999999996</v>
      </c>
      <c r="H8" s="91">
        <v>0.5</v>
      </c>
      <c r="I8" s="460">
        <v>8</v>
      </c>
      <c r="J8" s="90">
        <v>5</v>
      </c>
      <c r="K8" s="90">
        <v>2</v>
      </c>
      <c r="L8" s="89">
        <v>4</v>
      </c>
      <c r="M8" s="89">
        <v>2.5</v>
      </c>
      <c r="N8" s="465" t="str">
        <f>IF(OR(通常わざ表[[#This Row],[タイプ]]=$V$2,通常わざ表[[#This Row],[タイプ]]=$W$2),"↑","")</f>
        <v/>
      </c>
      <c r="O8" s="87">
        <f>IF(OR(通常わざ表[[#This Row],[タイプ]]=$V$2,通常わざ表[[#This Row],[タイプ]]=$W$2),通常わざ表[[#This Row],[威力_g]]*タイプ一致係数,通常わざ表[[#This Row],[威力_g]])</f>
        <v>12</v>
      </c>
      <c r="P8" s="89">
        <f>IF(OR(通常わざ表[[#This Row],[タイプ]]=$V$2,通常わざ表[[#This Row],[タイプ]]=$W$2),通常わざ表[[#This Row],[DPS]]*タイプ一致係数,通常わざ表[[#This Row],[DPS]])</f>
        <v>13.333333333333</v>
      </c>
      <c r="Q8" s="87">
        <f>IF(OR(通常わざ表[[#This Row],[タイプ]]=$V$2,通常わざ表[[#This Row],[タイプ]]=$W$2),通常わざ表[[#This Row],[威力_m]]*タイプ一致係数,通常わざ表[[#This Row],[威力_m]])</f>
        <v>8</v>
      </c>
      <c r="R8" s="88">
        <f>IF(OR(通常わざ表[[#This Row],[タイプ]]=$V$2,通常わざ表[[#This Row],[タイプ]]=$W$2),通常わざ表[[#This Row],[DPT]]*タイプ一致係数,通常わざ表[[#This Row],[DPT]])</f>
        <v>4</v>
      </c>
    </row>
    <row r="9" spans="1:23" ht="16.5" x14ac:dyDescent="0.45">
      <c r="A9" s="101" t="s">
        <v>53</v>
      </c>
      <c r="B9" s="101" t="s">
        <v>47</v>
      </c>
      <c r="C9" s="460">
        <v>15</v>
      </c>
      <c r="D9" s="90">
        <v>10</v>
      </c>
      <c r="E9" s="91">
        <v>1.3</v>
      </c>
      <c r="F9" s="89">
        <v>11.538461538462</v>
      </c>
      <c r="G9" s="89">
        <v>7.6920000000000002</v>
      </c>
      <c r="H9" s="91">
        <v>0.55000000000000004</v>
      </c>
      <c r="I9" s="460">
        <v>9</v>
      </c>
      <c r="J9" s="90">
        <v>7</v>
      </c>
      <c r="K9" s="90">
        <v>3</v>
      </c>
      <c r="L9" s="89">
        <v>3</v>
      </c>
      <c r="M9" s="89">
        <v>2.3333333333333002</v>
      </c>
      <c r="N9" s="465" t="str">
        <f>IF(OR(通常わざ表[[#This Row],[タイプ]]=$V$2,通常わざ表[[#This Row],[タイプ]]=$W$2),"↑","")</f>
        <v/>
      </c>
      <c r="O9" s="87">
        <f>IF(OR(通常わざ表[[#This Row],[タイプ]]=$V$2,通常わざ表[[#This Row],[タイプ]]=$W$2),通常わざ表[[#This Row],[威力_g]]*タイプ一致係数,通常わざ表[[#This Row],[威力_g]])</f>
        <v>15</v>
      </c>
      <c r="P9" s="89">
        <f>IF(OR(通常わざ表[[#This Row],[タイプ]]=$V$2,通常わざ表[[#This Row],[タイプ]]=$W$2),通常わざ表[[#This Row],[DPS]]*タイプ一致係数,通常わざ表[[#This Row],[DPS]])</f>
        <v>11.538461538462</v>
      </c>
      <c r="Q9" s="87">
        <f>IF(OR(通常わざ表[[#This Row],[タイプ]]=$V$2,通常わざ表[[#This Row],[タイプ]]=$W$2),通常わざ表[[#This Row],[威力_m]]*タイプ一致係数,通常わざ表[[#This Row],[威力_m]])</f>
        <v>9</v>
      </c>
      <c r="R9" s="88">
        <f>IF(OR(通常わざ表[[#This Row],[タイプ]]=$V$2,通常わざ表[[#This Row],[タイプ]]=$W$2),通常わざ表[[#This Row],[DPT]]*タイプ一致係数,通常わざ表[[#This Row],[DPT]])</f>
        <v>3</v>
      </c>
    </row>
    <row r="10" spans="1:23" ht="16.5" x14ac:dyDescent="0.45">
      <c r="A10" s="107" t="s">
        <v>249</v>
      </c>
      <c r="B10" s="107" t="s">
        <v>43</v>
      </c>
      <c r="C10" s="460">
        <v>16</v>
      </c>
      <c r="D10" s="90">
        <v>8</v>
      </c>
      <c r="E10" s="91">
        <v>1.2</v>
      </c>
      <c r="F10" s="89">
        <v>13.333333333333</v>
      </c>
      <c r="G10" s="89">
        <v>6.67</v>
      </c>
      <c r="H10" s="91">
        <v>0.8</v>
      </c>
      <c r="I10" s="460">
        <v>12</v>
      </c>
      <c r="J10" s="90">
        <v>8</v>
      </c>
      <c r="K10" s="90">
        <v>3</v>
      </c>
      <c r="L10" s="89">
        <v>4</v>
      </c>
      <c r="M10" s="89">
        <v>2.6666666666666998</v>
      </c>
      <c r="N10" s="465" t="str">
        <f>IF(OR(通常わざ表[[#This Row],[タイプ]]=$V$2,通常わざ表[[#This Row],[タイプ]]=$W$2),"↑","")</f>
        <v/>
      </c>
      <c r="O10" s="87">
        <f>IF(OR(通常わざ表[[#This Row],[タイプ]]=$V$2,通常わざ表[[#This Row],[タイプ]]=$W$2),通常わざ表[[#This Row],[威力_g]]*タイプ一致係数,通常わざ表[[#This Row],[威力_g]])</f>
        <v>16</v>
      </c>
      <c r="P10" s="89">
        <f>IF(OR(通常わざ表[[#This Row],[タイプ]]=$V$2,通常わざ表[[#This Row],[タイプ]]=$W$2),通常わざ表[[#This Row],[DPS]]*タイプ一致係数,通常わざ表[[#This Row],[DPS]])</f>
        <v>13.333333333333</v>
      </c>
      <c r="Q10" s="87">
        <f>IF(OR(通常わざ表[[#This Row],[タイプ]]=$V$2,通常わざ表[[#This Row],[タイプ]]=$W$2),通常わざ表[[#This Row],[威力_m]]*タイプ一致係数,通常わざ表[[#This Row],[威力_m]])</f>
        <v>12</v>
      </c>
      <c r="R10" s="88">
        <f>IF(OR(通常わざ表[[#This Row],[タイプ]]=$V$2,通常わざ表[[#This Row],[タイプ]]=$W$2),通常わざ表[[#This Row],[DPT]]*タイプ一致係数,通常わざ表[[#This Row],[DPT]])</f>
        <v>4</v>
      </c>
    </row>
    <row r="11" spans="1:23" ht="16.5" x14ac:dyDescent="0.45">
      <c r="A11" s="100" t="s">
        <v>158</v>
      </c>
      <c r="B11" s="100" t="s">
        <v>72</v>
      </c>
      <c r="C11" s="460">
        <v>14</v>
      </c>
      <c r="D11" s="90">
        <v>10</v>
      </c>
      <c r="E11" s="91">
        <v>1.2</v>
      </c>
      <c r="F11" s="89">
        <v>11.666666666667</v>
      </c>
      <c r="G11" s="89">
        <v>8.33</v>
      </c>
      <c r="H11" s="91">
        <v>1</v>
      </c>
      <c r="I11" s="460">
        <v>9</v>
      </c>
      <c r="J11" s="90">
        <v>9</v>
      </c>
      <c r="K11" s="90">
        <v>3</v>
      </c>
      <c r="L11" s="89">
        <v>3</v>
      </c>
      <c r="M11" s="89">
        <v>3</v>
      </c>
      <c r="N11" s="465" t="str">
        <f>IF(OR(通常わざ表[[#This Row],[タイプ]]=$V$2,通常わざ表[[#This Row],[タイプ]]=$W$2),"↑","")</f>
        <v/>
      </c>
      <c r="O11" s="87">
        <f>IF(OR(通常わざ表[[#This Row],[タイプ]]=$V$2,通常わざ表[[#This Row],[タイプ]]=$W$2),通常わざ表[[#This Row],[威力_g]]*タイプ一致係数,通常わざ表[[#This Row],[威力_g]])</f>
        <v>14</v>
      </c>
      <c r="P11" s="89">
        <f>IF(OR(通常わざ表[[#This Row],[タイプ]]=$V$2,通常わざ表[[#This Row],[タイプ]]=$W$2),通常わざ表[[#This Row],[DPS]]*タイプ一致係数,通常わざ表[[#This Row],[DPS]])</f>
        <v>11.666666666667</v>
      </c>
      <c r="Q11" s="87">
        <f>IF(OR(通常わざ表[[#This Row],[タイプ]]=$V$2,通常わざ表[[#This Row],[タイプ]]=$W$2),通常わざ表[[#This Row],[威力_m]]*タイプ一致係数,通常わざ表[[#This Row],[威力_m]])</f>
        <v>9</v>
      </c>
      <c r="R11" s="88">
        <f>IF(OR(通常わざ表[[#This Row],[タイプ]]=$V$2,通常わざ表[[#This Row],[タイプ]]=$W$2),通常わざ表[[#This Row],[DPT]]*タイプ一致係数,通常わざ表[[#This Row],[DPT]])</f>
        <v>3</v>
      </c>
    </row>
    <row r="12" spans="1:23" ht="16.5" x14ac:dyDescent="0.45">
      <c r="A12" s="98" t="s">
        <v>277</v>
      </c>
      <c r="B12" s="98" t="s">
        <v>16</v>
      </c>
      <c r="C12" s="460">
        <v>8</v>
      </c>
      <c r="D12" s="90">
        <v>14</v>
      </c>
      <c r="E12" s="91">
        <v>1.1000000000000001</v>
      </c>
      <c r="F12" s="89">
        <v>7.2727272727273</v>
      </c>
      <c r="G12" s="89">
        <v>12.727</v>
      </c>
      <c r="H12" s="91">
        <v>0.7</v>
      </c>
      <c r="I12" s="460">
        <v>5</v>
      </c>
      <c r="J12" s="90">
        <v>9</v>
      </c>
      <c r="K12" s="90">
        <v>3</v>
      </c>
      <c r="L12" s="89">
        <v>1.6666666666667</v>
      </c>
      <c r="M12" s="89">
        <v>3</v>
      </c>
      <c r="N12" s="465" t="str">
        <f>IF(OR(通常わざ表[[#This Row],[タイプ]]=$V$2,通常わざ表[[#This Row],[タイプ]]=$W$2),"↑","")</f>
        <v/>
      </c>
      <c r="O12" s="87">
        <f>IF(OR(通常わざ表[[#This Row],[タイプ]]=$V$2,通常わざ表[[#This Row],[タイプ]]=$W$2),通常わざ表[[#This Row],[威力_g]]*タイプ一致係数,通常わざ表[[#This Row],[威力_g]])</f>
        <v>8</v>
      </c>
      <c r="P12" s="89">
        <f>IF(OR(通常わざ表[[#This Row],[タイプ]]=$V$2,通常わざ表[[#This Row],[タイプ]]=$W$2),通常わざ表[[#This Row],[DPS]]*タイプ一致係数,通常わざ表[[#This Row],[DPS]])</f>
        <v>7.2727272727273</v>
      </c>
      <c r="Q12" s="87">
        <f>IF(OR(通常わざ表[[#This Row],[タイプ]]=$V$2,通常わざ表[[#This Row],[タイプ]]=$W$2),通常わざ表[[#This Row],[威力_m]]*タイプ一致係数,通常わざ表[[#This Row],[威力_m]])</f>
        <v>5</v>
      </c>
      <c r="R12" s="88">
        <f>IF(OR(通常わざ表[[#This Row],[タイプ]]=$V$2,通常わざ表[[#This Row],[タイプ]]=$W$2),通常わざ表[[#This Row],[DPT]]*タイプ一致係数,通常わざ表[[#This Row],[DPT]])</f>
        <v>1.6666666666667</v>
      </c>
    </row>
    <row r="13" spans="1:23" ht="16.5" x14ac:dyDescent="0.45">
      <c r="A13" s="101" t="s">
        <v>45</v>
      </c>
      <c r="B13" s="101" t="s">
        <v>47</v>
      </c>
      <c r="C13" s="460">
        <v>12</v>
      </c>
      <c r="D13" s="90">
        <v>8</v>
      </c>
      <c r="E13" s="91">
        <v>0.9</v>
      </c>
      <c r="F13" s="89">
        <v>13.333333333333</v>
      </c>
      <c r="G13" s="89">
        <v>8.89</v>
      </c>
      <c r="H13" s="91">
        <v>0.7</v>
      </c>
      <c r="I13" s="460">
        <v>8</v>
      </c>
      <c r="J13" s="90">
        <v>7</v>
      </c>
      <c r="K13" s="90">
        <v>2</v>
      </c>
      <c r="L13" s="89">
        <v>4</v>
      </c>
      <c r="M13" s="89">
        <v>3.5</v>
      </c>
      <c r="N13" s="465" t="str">
        <f>IF(OR(通常わざ表[[#This Row],[タイプ]]=$V$2,通常わざ表[[#This Row],[タイプ]]=$W$2),"↑","")</f>
        <v/>
      </c>
      <c r="O13" s="87">
        <f>IF(OR(通常わざ表[[#This Row],[タイプ]]=$V$2,通常わざ表[[#This Row],[タイプ]]=$W$2),通常わざ表[[#This Row],[威力_g]]*タイプ一致係数,通常わざ表[[#This Row],[威力_g]])</f>
        <v>12</v>
      </c>
      <c r="P13" s="89">
        <f>IF(OR(通常わざ表[[#This Row],[タイプ]]=$V$2,通常わざ表[[#This Row],[タイプ]]=$W$2),通常わざ表[[#This Row],[DPS]]*タイプ一致係数,通常わざ表[[#This Row],[DPS]])</f>
        <v>13.333333333333</v>
      </c>
      <c r="Q13" s="87">
        <f>IF(OR(通常わざ表[[#This Row],[タイプ]]=$V$2,通常わざ表[[#This Row],[タイプ]]=$W$2),通常わざ表[[#This Row],[威力_m]]*タイプ一致係数,通常わざ表[[#This Row],[威力_m]])</f>
        <v>8</v>
      </c>
      <c r="R13" s="88">
        <f>IF(OR(通常わざ表[[#This Row],[タイプ]]=$V$2,通常わざ表[[#This Row],[タイプ]]=$W$2),通常わざ表[[#This Row],[DPT]]*タイプ一致係数,通常わざ表[[#This Row],[DPT]])</f>
        <v>4</v>
      </c>
    </row>
    <row r="14" spans="1:23" ht="16.5" x14ac:dyDescent="0.45">
      <c r="A14" s="109" t="s">
        <v>66</v>
      </c>
      <c r="B14" s="109" t="s">
        <v>78</v>
      </c>
      <c r="C14" s="460">
        <v>6</v>
      </c>
      <c r="D14" s="90">
        <v>4</v>
      </c>
      <c r="E14" s="91">
        <v>0.5</v>
      </c>
      <c r="F14" s="89">
        <v>12</v>
      </c>
      <c r="G14" s="89">
        <v>8</v>
      </c>
      <c r="H14" s="91">
        <v>0.3</v>
      </c>
      <c r="I14" s="460">
        <v>4</v>
      </c>
      <c r="J14" s="90">
        <v>2</v>
      </c>
      <c r="K14" s="90">
        <v>1</v>
      </c>
      <c r="L14" s="89">
        <v>4</v>
      </c>
      <c r="M14" s="89">
        <v>2</v>
      </c>
      <c r="N14" s="465" t="str">
        <f>IF(OR(通常わざ表[[#This Row],[タイプ]]=$V$2,通常わざ表[[#This Row],[タイプ]]=$W$2),"↑","")</f>
        <v/>
      </c>
      <c r="O14" s="87">
        <f>IF(OR(通常わざ表[[#This Row],[タイプ]]=$V$2,通常わざ表[[#This Row],[タイプ]]=$W$2),通常わざ表[[#This Row],[威力_g]]*タイプ一致係数,通常わざ表[[#This Row],[威力_g]])</f>
        <v>6</v>
      </c>
      <c r="P14" s="89">
        <f>IF(OR(通常わざ表[[#This Row],[タイプ]]=$V$2,通常わざ表[[#This Row],[タイプ]]=$W$2),通常わざ表[[#This Row],[DPS]]*タイプ一致係数,通常わざ表[[#This Row],[DPS]])</f>
        <v>12</v>
      </c>
      <c r="Q14" s="87">
        <f>IF(OR(通常わざ表[[#This Row],[タイプ]]=$V$2,通常わざ表[[#This Row],[タイプ]]=$W$2),通常わざ表[[#This Row],[威力_m]]*タイプ一致係数,通常わざ表[[#This Row],[威力_m]])</f>
        <v>4</v>
      </c>
      <c r="R14" s="88">
        <f>IF(OR(通常わざ表[[#This Row],[タイプ]]=$V$2,通常わざ表[[#This Row],[タイプ]]=$W$2),通常わざ表[[#This Row],[DPT]]*タイプ一致係数,通常わざ表[[#This Row],[DPT]])</f>
        <v>4</v>
      </c>
    </row>
    <row r="15" spans="1:23" ht="16.5" x14ac:dyDescent="0.45">
      <c r="A15" s="102" t="s">
        <v>196</v>
      </c>
      <c r="B15" s="102" t="s">
        <v>8</v>
      </c>
      <c r="C15" s="460">
        <v>12</v>
      </c>
      <c r="D15" s="90">
        <v>16</v>
      </c>
      <c r="E15" s="91">
        <v>1.2</v>
      </c>
      <c r="F15" s="89">
        <v>10</v>
      </c>
      <c r="G15" s="89">
        <v>13.333</v>
      </c>
      <c r="H15" s="91">
        <v>0.4</v>
      </c>
      <c r="I15" s="460">
        <v>8</v>
      </c>
      <c r="J15" s="90">
        <v>5</v>
      </c>
      <c r="K15" s="90">
        <v>2</v>
      </c>
      <c r="L15" s="89">
        <v>4</v>
      </c>
      <c r="M15" s="89">
        <v>2.5</v>
      </c>
      <c r="N15" s="465" t="str">
        <f>IF(OR(通常わざ表[[#This Row],[タイプ]]=$V$2,通常わざ表[[#This Row],[タイプ]]=$W$2),"↑","")</f>
        <v/>
      </c>
      <c r="O15" s="87">
        <f>IF(OR(通常わざ表[[#This Row],[タイプ]]=$V$2,通常わざ表[[#This Row],[タイプ]]=$W$2),通常わざ表[[#This Row],[威力_g]]*タイプ一致係数,通常わざ表[[#This Row],[威力_g]])</f>
        <v>12</v>
      </c>
      <c r="P15" s="89">
        <f>IF(OR(通常わざ表[[#This Row],[タイプ]]=$V$2,通常わざ表[[#This Row],[タイプ]]=$W$2),通常わざ表[[#This Row],[DPS]]*タイプ一致係数,通常わざ表[[#This Row],[DPS]])</f>
        <v>10</v>
      </c>
      <c r="Q15" s="87">
        <f>IF(OR(通常わざ表[[#This Row],[タイプ]]=$V$2,通常わざ表[[#This Row],[タイプ]]=$W$2),通常わざ表[[#This Row],[威力_m]]*タイプ一致係数,通常わざ表[[#This Row],[威力_m]])</f>
        <v>8</v>
      </c>
      <c r="R15" s="88">
        <f>IF(OR(通常わざ表[[#This Row],[タイプ]]=$V$2,通常わざ表[[#This Row],[タイプ]]=$W$2),通常わざ表[[#This Row],[DPT]]*タイプ一致係数,通常わざ表[[#This Row],[DPT]])</f>
        <v>4</v>
      </c>
    </row>
    <row r="16" spans="1:23" ht="16.5" x14ac:dyDescent="0.45">
      <c r="A16" s="101" t="s">
        <v>1507</v>
      </c>
      <c r="B16" s="101" t="s">
        <v>47</v>
      </c>
      <c r="C16" s="460">
        <v>8</v>
      </c>
      <c r="D16" s="90">
        <v>10</v>
      </c>
      <c r="E16" s="91">
        <v>0.8</v>
      </c>
      <c r="F16" s="89">
        <v>10</v>
      </c>
      <c r="G16" s="89">
        <v>12.5</v>
      </c>
      <c r="H16" s="91">
        <v>0.6</v>
      </c>
      <c r="I16" s="460">
        <v>5</v>
      </c>
      <c r="J16" s="90">
        <v>7</v>
      </c>
      <c r="K16" s="90">
        <v>2</v>
      </c>
      <c r="L16" s="89">
        <v>2.5</v>
      </c>
      <c r="M16" s="89">
        <v>3.5</v>
      </c>
      <c r="N16" s="465" t="str">
        <f>IF(OR(通常わざ表[[#This Row],[タイプ]]=$V$2,通常わざ表[[#This Row],[タイプ]]=$W$2),"↑","")</f>
        <v/>
      </c>
      <c r="O16" s="87">
        <f>IF(OR(通常わざ表[[#This Row],[タイプ]]=$V$2,通常わざ表[[#This Row],[タイプ]]=$W$2),通常わざ表[[#This Row],[威力_g]]*タイプ一致係数,通常わざ表[[#This Row],[威力_g]])</f>
        <v>8</v>
      </c>
      <c r="P16" s="89">
        <f>IF(OR(通常わざ表[[#This Row],[タイプ]]=$V$2,通常わざ表[[#This Row],[タイプ]]=$W$2),通常わざ表[[#This Row],[DPS]]*タイプ一致係数,通常わざ表[[#This Row],[DPS]])</f>
        <v>10</v>
      </c>
      <c r="Q16" s="87">
        <f>IF(OR(通常わざ表[[#This Row],[タイプ]]=$V$2,通常わざ表[[#This Row],[タイプ]]=$W$2),通常わざ表[[#This Row],[威力_m]]*タイプ一致係数,通常わざ表[[#This Row],[威力_m]])</f>
        <v>5</v>
      </c>
      <c r="R16" s="88">
        <f>IF(OR(通常わざ表[[#This Row],[タイプ]]=$V$2,通常わざ表[[#This Row],[タイプ]]=$W$2),通常わざ表[[#This Row],[DPT]]*タイプ一致係数,通常わざ表[[#This Row],[DPT]])</f>
        <v>2.5</v>
      </c>
    </row>
    <row r="17" spans="1:18" ht="16.5" x14ac:dyDescent="0.45">
      <c r="A17" s="101" t="s">
        <v>140</v>
      </c>
      <c r="B17" s="101" t="s">
        <v>47</v>
      </c>
      <c r="C17" s="460">
        <v>6</v>
      </c>
      <c r="D17" s="90">
        <v>6</v>
      </c>
      <c r="E17" s="91">
        <v>0.6</v>
      </c>
      <c r="F17" s="89">
        <v>10</v>
      </c>
      <c r="G17" s="89">
        <v>10</v>
      </c>
      <c r="H17" s="91">
        <v>0.3</v>
      </c>
      <c r="I17" s="460">
        <v>4</v>
      </c>
      <c r="J17" s="90">
        <v>5</v>
      </c>
      <c r="K17" s="90">
        <v>2</v>
      </c>
      <c r="L17" s="89">
        <v>2</v>
      </c>
      <c r="M17" s="89">
        <v>2.5</v>
      </c>
      <c r="N17" s="465" t="str">
        <f>IF(OR(通常わざ表[[#This Row],[タイプ]]=$V$2,通常わざ表[[#This Row],[タイプ]]=$W$2),"↑","")</f>
        <v/>
      </c>
      <c r="O17" s="87">
        <f>IF(OR(通常わざ表[[#This Row],[タイプ]]=$V$2,通常わざ表[[#This Row],[タイプ]]=$W$2),通常わざ表[[#This Row],[威力_g]]*タイプ一致係数,通常わざ表[[#This Row],[威力_g]])</f>
        <v>6</v>
      </c>
      <c r="P17" s="89">
        <f>IF(OR(通常わざ表[[#This Row],[タイプ]]=$V$2,通常わざ表[[#This Row],[タイプ]]=$W$2),通常わざ表[[#This Row],[DPS]]*タイプ一致係数,通常わざ表[[#This Row],[DPS]])</f>
        <v>10</v>
      </c>
      <c r="Q17" s="87">
        <f>IF(OR(通常わざ表[[#This Row],[タイプ]]=$V$2,通常わざ表[[#This Row],[タイプ]]=$W$2),通常わざ表[[#This Row],[威力_m]]*タイプ一致係数,通常わざ表[[#This Row],[威力_m]])</f>
        <v>4</v>
      </c>
      <c r="R17" s="88">
        <f>IF(OR(通常わざ表[[#This Row],[タイプ]]=$V$2,通常わざ表[[#This Row],[タイプ]]=$W$2),通常わざ表[[#This Row],[DPT]]*タイプ一致係数,通常わざ表[[#This Row],[DPT]])</f>
        <v>2</v>
      </c>
    </row>
    <row r="18" spans="1:18" ht="16.5" x14ac:dyDescent="0.45">
      <c r="A18" s="99" t="s">
        <v>109</v>
      </c>
      <c r="B18" s="99" t="s">
        <v>62</v>
      </c>
      <c r="C18" s="460">
        <v>10</v>
      </c>
      <c r="D18" s="90">
        <v>8</v>
      </c>
      <c r="E18" s="91">
        <v>0.9</v>
      </c>
      <c r="F18" s="89">
        <v>11.111111111111001</v>
      </c>
      <c r="G18" s="89">
        <v>8.8889999999999993</v>
      </c>
      <c r="H18" s="91">
        <v>0.45</v>
      </c>
      <c r="I18" s="460">
        <v>7</v>
      </c>
      <c r="J18" s="90">
        <v>5</v>
      </c>
      <c r="K18" s="90">
        <v>2</v>
      </c>
      <c r="L18" s="89">
        <v>3.5</v>
      </c>
      <c r="M18" s="89">
        <v>2.5</v>
      </c>
      <c r="N18" s="465" t="str">
        <f>IF(OR(通常わざ表[[#This Row],[タイプ]]=$V$2,通常わざ表[[#This Row],[タイプ]]=$W$2),"↑","")</f>
        <v/>
      </c>
      <c r="O18" s="87">
        <f>IF(OR(通常わざ表[[#This Row],[タイプ]]=$V$2,通常わざ表[[#This Row],[タイプ]]=$W$2),通常わざ表[[#This Row],[威力_g]]*タイプ一致係数,通常わざ表[[#This Row],[威力_g]])</f>
        <v>10</v>
      </c>
      <c r="P18" s="89">
        <f>IF(OR(通常わざ表[[#This Row],[タイプ]]=$V$2,通常わざ表[[#This Row],[タイプ]]=$W$2),通常わざ表[[#This Row],[DPS]]*タイプ一致係数,通常わざ表[[#This Row],[DPS]])</f>
        <v>11.111111111111001</v>
      </c>
      <c r="Q18" s="87">
        <f>IF(OR(通常わざ表[[#This Row],[タイプ]]=$V$2,通常わざ表[[#This Row],[タイプ]]=$W$2),通常わざ表[[#This Row],[威力_m]]*タイプ一致係数,通常わざ表[[#This Row],[威力_m]])</f>
        <v>7</v>
      </c>
      <c r="R18" s="88">
        <f>IF(OR(通常わざ表[[#This Row],[タイプ]]=$V$2,通常わざ表[[#This Row],[タイプ]]=$W$2),通常わざ表[[#This Row],[DPT]]*タイプ一致係数,通常わざ表[[#This Row],[DPT]])</f>
        <v>3.5</v>
      </c>
    </row>
    <row r="19" spans="1:18" ht="16.5" x14ac:dyDescent="0.45">
      <c r="A19" s="99" t="s">
        <v>1510</v>
      </c>
      <c r="B19" s="99" t="s">
        <v>62</v>
      </c>
      <c r="C19" s="460">
        <v>12</v>
      </c>
      <c r="D19" s="90">
        <v>20</v>
      </c>
      <c r="E19" s="91">
        <v>1.5</v>
      </c>
      <c r="F19" s="89">
        <v>8</v>
      </c>
      <c r="G19" s="89">
        <v>13.333</v>
      </c>
      <c r="H19" s="91">
        <v>0.4</v>
      </c>
      <c r="I19" s="460">
        <v>8</v>
      </c>
      <c r="J19" s="90">
        <v>5</v>
      </c>
      <c r="K19" s="90">
        <v>2</v>
      </c>
      <c r="L19" s="89">
        <v>4</v>
      </c>
      <c r="M19" s="89">
        <v>2.5</v>
      </c>
      <c r="N19" s="465" t="str">
        <f>IF(OR(通常わざ表[[#This Row],[タイプ]]=$V$2,通常わざ表[[#This Row],[タイプ]]=$W$2),"↑","")</f>
        <v/>
      </c>
      <c r="O19" s="87">
        <f>IF(OR(通常わざ表[[#This Row],[タイプ]]=$V$2,通常わざ表[[#This Row],[タイプ]]=$W$2),通常わざ表[[#This Row],[威力_g]]*タイプ一致係数,通常わざ表[[#This Row],[威力_g]])</f>
        <v>12</v>
      </c>
      <c r="P19" s="89">
        <f>IF(OR(通常わざ表[[#This Row],[タイプ]]=$V$2,通常わざ表[[#This Row],[タイプ]]=$W$2),通常わざ表[[#This Row],[DPS]]*タイプ一致係数,通常わざ表[[#This Row],[DPS]])</f>
        <v>8</v>
      </c>
      <c r="Q19" s="87">
        <f>IF(OR(通常わざ表[[#This Row],[タイプ]]=$V$2,通常わざ表[[#This Row],[タイプ]]=$W$2),通常わざ表[[#This Row],[威力_m]]*タイプ一致係数,通常わざ表[[#This Row],[威力_m]])</f>
        <v>8</v>
      </c>
      <c r="R19" s="88">
        <f>IF(OR(通常わざ表[[#This Row],[タイプ]]=$V$2,通常わざ表[[#This Row],[タイプ]]=$W$2),通常わざ表[[#This Row],[DPT]]*タイプ一致係数,通常わざ表[[#This Row],[DPT]])</f>
        <v>4</v>
      </c>
    </row>
    <row r="20" spans="1:18" ht="16.5" x14ac:dyDescent="0.45">
      <c r="A20" s="99" t="s">
        <v>241</v>
      </c>
      <c r="B20" s="99" t="s">
        <v>62</v>
      </c>
      <c r="C20" s="460">
        <v>12</v>
      </c>
      <c r="D20" s="90">
        <v>12</v>
      </c>
      <c r="E20" s="91">
        <v>1.2</v>
      </c>
      <c r="F20" s="89">
        <v>10</v>
      </c>
      <c r="G20" s="89">
        <v>10</v>
      </c>
      <c r="H20" s="91">
        <v>0.6</v>
      </c>
      <c r="I20" s="460">
        <v>9</v>
      </c>
      <c r="J20" s="90">
        <v>10</v>
      </c>
      <c r="K20" s="90">
        <v>3</v>
      </c>
      <c r="L20" s="89">
        <v>3</v>
      </c>
      <c r="M20" s="89">
        <v>3.3333333333333002</v>
      </c>
      <c r="N20" s="465" t="str">
        <f>IF(OR(通常わざ表[[#This Row],[タイプ]]=$V$2,通常わざ表[[#This Row],[タイプ]]=$W$2),"↑","")</f>
        <v/>
      </c>
      <c r="O20" s="87">
        <f>IF(OR(通常わざ表[[#This Row],[タイプ]]=$V$2,通常わざ表[[#This Row],[タイプ]]=$W$2),通常わざ表[[#This Row],[威力_g]]*タイプ一致係数,通常わざ表[[#This Row],[威力_g]])</f>
        <v>12</v>
      </c>
      <c r="P20" s="89">
        <f>IF(OR(通常わざ表[[#This Row],[タイプ]]=$V$2,通常わざ表[[#This Row],[タイプ]]=$W$2),通常わざ表[[#This Row],[DPS]]*タイプ一致係数,通常わざ表[[#This Row],[DPS]])</f>
        <v>10</v>
      </c>
      <c r="Q20" s="87">
        <f>IF(OR(通常わざ表[[#This Row],[タイプ]]=$V$2,通常わざ表[[#This Row],[タイプ]]=$W$2),通常わざ表[[#This Row],[威力_m]]*タイプ一致係数,通常わざ表[[#This Row],[威力_m]])</f>
        <v>9</v>
      </c>
      <c r="R20" s="88">
        <f>IF(OR(通常わざ表[[#This Row],[タイプ]]=$V$2,通常わざ表[[#This Row],[タイプ]]=$W$2),通常わざ表[[#This Row],[DPT]]*タイプ一致係数,通常わざ表[[#This Row],[DPT]])</f>
        <v>3</v>
      </c>
    </row>
    <row r="21" spans="1:18" ht="16.5" x14ac:dyDescent="0.45">
      <c r="A21" s="99" t="s">
        <v>59</v>
      </c>
      <c r="B21" s="99" t="s">
        <v>62</v>
      </c>
      <c r="C21" s="460">
        <v>6</v>
      </c>
      <c r="D21" s="90">
        <v>15</v>
      </c>
      <c r="E21" s="91">
        <v>1</v>
      </c>
      <c r="F21" s="89">
        <v>6</v>
      </c>
      <c r="G21" s="89">
        <v>15</v>
      </c>
      <c r="H21" s="91">
        <v>0.85</v>
      </c>
      <c r="I21" s="460">
        <v>4</v>
      </c>
      <c r="J21" s="90">
        <v>8</v>
      </c>
      <c r="K21" s="90">
        <v>2</v>
      </c>
      <c r="L21" s="89">
        <v>2</v>
      </c>
      <c r="M21" s="89">
        <v>4</v>
      </c>
      <c r="N21" s="465" t="str">
        <f>IF(OR(通常わざ表[[#This Row],[タイプ]]=$V$2,通常わざ表[[#This Row],[タイプ]]=$W$2),"↑","")</f>
        <v/>
      </c>
      <c r="O21" s="87">
        <f>IF(OR(通常わざ表[[#This Row],[タイプ]]=$V$2,通常わざ表[[#This Row],[タイプ]]=$W$2),通常わざ表[[#This Row],[威力_g]]*タイプ一致係数,通常わざ表[[#This Row],[威力_g]])</f>
        <v>6</v>
      </c>
      <c r="P21" s="89">
        <f>IF(OR(通常わざ表[[#This Row],[タイプ]]=$V$2,通常わざ表[[#This Row],[タイプ]]=$W$2),通常わざ表[[#This Row],[DPS]]*タイプ一致係数,通常わざ表[[#This Row],[DPS]])</f>
        <v>6</v>
      </c>
      <c r="Q21" s="87">
        <f>IF(OR(通常わざ表[[#This Row],[タイプ]]=$V$2,通常わざ表[[#This Row],[タイプ]]=$W$2),通常わざ表[[#This Row],[威力_m]]*タイプ一致係数,通常わざ表[[#This Row],[威力_m]])</f>
        <v>4</v>
      </c>
      <c r="R21" s="88">
        <f>IF(OR(通常わざ表[[#This Row],[タイプ]]=$V$2,通常わざ表[[#This Row],[タイプ]]=$W$2),通常わざ表[[#This Row],[DPT]]*タイプ一致係数,通常わざ表[[#This Row],[DPT]])</f>
        <v>2</v>
      </c>
    </row>
    <row r="22" spans="1:18" ht="16.5" x14ac:dyDescent="0.45">
      <c r="A22" s="103" t="s">
        <v>1497</v>
      </c>
      <c r="B22" s="103" t="s">
        <v>18</v>
      </c>
      <c r="C22" s="460">
        <v>5</v>
      </c>
      <c r="D22" s="90">
        <v>8</v>
      </c>
      <c r="E22" s="91">
        <v>0.6</v>
      </c>
      <c r="F22" s="89">
        <v>8.3333333333333002</v>
      </c>
      <c r="G22" s="89">
        <v>13.333</v>
      </c>
      <c r="H22" s="91">
        <v>0.37</v>
      </c>
      <c r="I22" s="460">
        <v>3</v>
      </c>
      <c r="J22" s="90">
        <v>9</v>
      </c>
      <c r="K22" s="90">
        <v>2</v>
      </c>
      <c r="L22" s="89">
        <v>1.5</v>
      </c>
      <c r="M22" s="89">
        <v>4.5</v>
      </c>
      <c r="N22" s="465" t="str">
        <f>IF(OR(通常わざ表[[#This Row],[タイプ]]=$V$2,通常わざ表[[#This Row],[タイプ]]=$W$2),"↑","")</f>
        <v/>
      </c>
      <c r="O22" s="87">
        <f>IF(OR(通常わざ表[[#This Row],[タイプ]]=$V$2,通常わざ表[[#This Row],[タイプ]]=$W$2),通常わざ表[[#This Row],[威力_g]]*タイプ一致係数,通常わざ表[[#This Row],[威力_g]])</f>
        <v>5</v>
      </c>
      <c r="P22" s="89">
        <f>IF(OR(通常わざ表[[#This Row],[タイプ]]=$V$2,通常わざ表[[#This Row],[タイプ]]=$W$2),通常わざ表[[#This Row],[DPS]]*タイプ一致係数,通常わざ表[[#This Row],[DPS]])</f>
        <v>8.3333333333333002</v>
      </c>
      <c r="Q22" s="87">
        <f>IF(OR(通常わざ表[[#This Row],[タイプ]]=$V$2,通常わざ表[[#This Row],[タイプ]]=$W$2),通常わざ表[[#This Row],[威力_m]]*タイプ一致係数,通常わざ表[[#This Row],[威力_m]])</f>
        <v>3</v>
      </c>
      <c r="R22" s="88">
        <f>IF(OR(通常わざ表[[#This Row],[タイプ]]=$V$2,通常わざ表[[#This Row],[タイプ]]=$W$2),通常わざ表[[#This Row],[DPT]]*タイプ一致係数,通常わざ表[[#This Row],[DPT]])</f>
        <v>1.5</v>
      </c>
    </row>
    <row r="23" spans="1:18" ht="16.5" x14ac:dyDescent="0.45">
      <c r="A23" s="98" t="s">
        <v>273</v>
      </c>
      <c r="B23" s="98" t="s">
        <v>16</v>
      </c>
      <c r="C23" s="460">
        <v>5</v>
      </c>
      <c r="D23" s="90">
        <v>6</v>
      </c>
      <c r="E23" s="91">
        <v>0.5</v>
      </c>
      <c r="F23" s="89">
        <v>10</v>
      </c>
      <c r="G23" s="89">
        <v>12</v>
      </c>
      <c r="H23" s="91">
        <v>0.2</v>
      </c>
      <c r="I23" s="460">
        <v>3</v>
      </c>
      <c r="J23" s="90">
        <v>3</v>
      </c>
      <c r="K23" s="90">
        <v>1</v>
      </c>
      <c r="L23" s="89">
        <v>3</v>
      </c>
      <c r="M23" s="89">
        <v>3</v>
      </c>
      <c r="N23" s="465" t="str">
        <f>IF(OR(通常わざ表[[#This Row],[タイプ]]=$V$2,通常わざ表[[#This Row],[タイプ]]=$W$2),"↑","")</f>
        <v/>
      </c>
      <c r="O23" s="87">
        <f>IF(OR(通常わざ表[[#This Row],[タイプ]]=$V$2,通常わざ表[[#This Row],[タイプ]]=$W$2),通常わざ表[[#This Row],[威力_g]]*タイプ一致係数,通常わざ表[[#This Row],[威力_g]])</f>
        <v>5</v>
      </c>
      <c r="P23" s="89">
        <f>IF(OR(通常わざ表[[#This Row],[タイプ]]=$V$2,通常わざ表[[#This Row],[タイプ]]=$W$2),通常わざ表[[#This Row],[DPS]]*タイプ一致係数,通常わざ表[[#This Row],[DPS]])</f>
        <v>10</v>
      </c>
      <c r="Q23" s="87">
        <f>IF(OR(通常わざ表[[#This Row],[タイプ]]=$V$2,通常わざ表[[#This Row],[タイプ]]=$W$2),通常わざ表[[#This Row],[威力_m]]*タイプ一致係数,通常わざ表[[#This Row],[威力_m]])</f>
        <v>3</v>
      </c>
      <c r="R23" s="88">
        <f>IF(OR(通常わざ表[[#This Row],[タイプ]]=$V$2,通常わざ表[[#This Row],[タイプ]]=$W$2),通常わざ表[[#This Row],[DPT]]*タイプ一致係数,通常わざ表[[#This Row],[DPT]])</f>
        <v>3</v>
      </c>
    </row>
    <row r="24" spans="1:18" ht="16.5" x14ac:dyDescent="0.45">
      <c r="A24" s="103" t="s">
        <v>95</v>
      </c>
      <c r="B24" s="103" t="s">
        <v>18</v>
      </c>
      <c r="C24" s="460">
        <v>12</v>
      </c>
      <c r="D24" s="90">
        <v>10</v>
      </c>
      <c r="E24" s="91">
        <v>1.1000000000000001</v>
      </c>
      <c r="F24" s="89">
        <v>10.909090909091001</v>
      </c>
      <c r="G24" s="89">
        <v>9.0909999999999993</v>
      </c>
      <c r="H24" s="91">
        <v>0.85</v>
      </c>
      <c r="I24" s="460">
        <v>8</v>
      </c>
      <c r="J24" s="90">
        <v>6</v>
      </c>
      <c r="K24" s="90">
        <v>3</v>
      </c>
      <c r="L24" s="89">
        <v>2.6666666666666998</v>
      </c>
      <c r="M24" s="89">
        <v>2</v>
      </c>
      <c r="N24" s="465" t="str">
        <f>IF(OR(通常わざ表[[#This Row],[タイプ]]=$V$2,通常わざ表[[#This Row],[タイプ]]=$W$2),"↑","")</f>
        <v/>
      </c>
      <c r="O24" s="87">
        <f>IF(OR(通常わざ表[[#This Row],[タイプ]]=$V$2,通常わざ表[[#This Row],[タイプ]]=$W$2),通常わざ表[[#This Row],[威力_g]]*タイプ一致係数,通常わざ表[[#This Row],[威力_g]])</f>
        <v>12</v>
      </c>
      <c r="P24" s="89">
        <f>IF(OR(通常わざ表[[#This Row],[タイプ]]=$V$2,通常わざ表[[#This Row],[タイプ]]=$W$2),通常わざ表[[#This Row],[DPS]]*タイプ一致係数,通常わざ表[[#This Row],[DPS]])</f>
        <v>10.909090909091001</v>
      </c>
      <c r="Q24" s="87">
        <f>IF(OR(通常わざ表[[#This Row],[タイプ]]=$V$2,通常わざ表[[#This Row],[タイプ]]=$W$2),通常わざ表[[#This Row],[威力_m]]*タイプ一致係数,通常わざ表[[#This Row],[威力_m]])</f>
        <v>8</v>
      </c>
      <c r="R24" s="88">
        <f>IF(OR(通常わざ表[[#This Row],[タイプ]]=$V$2,通常わざ表[[#This Row],[タイプ]]=$W$2),通常わざ表[[#This Row],[DPT]]*タイプ一致係数,通常わざ表[[#This Row],[DPT]])</f>
        <v>2.6666666666666998</v>
      </c>
    </row>
    <row r="25" spans="1:18" ht="16.5" x14ac:dyDescent="0.45">
      <c r="A25" s="98" t="s">
        <v>49</v>
      </c>
      <c r="B25" s="98" t="s">
        <v>16</v>
      </c>
      <c r="C25" s="460">
        <v>9</v>
      </c>
      <c r="D25" s="90">
        <v>6</v>
      </c>
      <c r="E25" s="91">
        <v>0.7</v>
      </c>
      <c r="F25" s="89">
        <v>12.857142857143</v>
      </c>
      <c r="G25" s="89">
        <v>8.5709999999999997</v>
      </c>
      <c r="H25" s="91">
        <v>0.25</v>
      </c>
      <c r="I25" s="460">
        <v>6</v>
      </c>
      <c r="J25" s="90">
        <v>8</v>
      </c>
      <c r="K25" s="90">
        <v>2</v>
      </c>
      <c r="L25" s="89">
        <v>3</v>
      </c>
      <c r="M25" s="89">
        <v>4</v>
      </c>
      <c r="N25" s="465" t="str">
        <f>IF(OR(通常わざ表[[#This Row],[タイプ]]=$V$2,通常わざ表[[#This Row],[タイプ]]=$W$2),"↑","")</f>
        <v/>
      </c>
      <c r="O25" s="87">
        <f>IF(OR(通常わざ表[[#This Row],[タイプ]]=$V$2,通常わざ表[[#This Row],[タイプ]]=$W$2),通常わざ表[[#This Row],[威力_g]]*タイプ一致係数,通常わざ表[[#This Row],[威力_g]])</f>
        <v>9</v>
      </c>
      <c r="P25" s="89">
        <f>IF(OR(通常わざ表[[#This Row],[タイプ]]=$V$2,通常わざ表[[#This Row],[タイプ]]=$W$2),通常わざ表[[#This Row],[DPS]]*タイプ一致係数,通常わざ表[[#This Row],[DPS]])</f>
        <v>12.857142857143</v>
      </c>
      <c r="Q25" s="87">
        <f>IF(OR(通常わざ表[[#This Row],[タイプ]]=$V$2,通常わざ表[[#This Row],[タイプ]]=$W$2),通常わざ表[[#This Row],[威力_m]]*タイプ一致係数,通常わざ表[[#This Row],[威力_m]])</f>
        <v>6</v>
      </c>
      <c r="R25" s="88">
        <f>IF(OR(通常わざ表[[#This Row],[タイプ]]=$V$2,通常わざ表[[#This Row],[タイプ]]=$W$2),通常わざ表[[#This Row],[DPT]]*タイプ一致係数,通常わざ表[[#This Row],[DPT]])</f>
        <v>3</v>
      </c>
    </row>
    <row r="26" spans="1:18" ht="16.5" x14ac:dyDescent="0.45">
      <c r="A26" s="103" t="s">
        <v>34</v>
      </c>
      <c r="B26" s="103" t="s">
        <v>18</v>
      </c>
      <c r="C26" s="460">
        <v>12</v>
      </c>
      <c r="D26" s="90">
        <v>12</v>
      </c>
      <c r="E26" s="91">
        <v>1.1000000000000001</v>
      </c>
      <c r="F26" s="89">
        <v>10.909090909091001</v>
      </c>
      <c r="G26" s="89">
        <v>10.91</v>
      </c>
      <c r="H26" s="91">
        <v>0.85</v>
      </c>
      <c r="I26" s="460">
        <v>8</v>
      </c>
      <c r="J26" s="90">
        <v>10</v>
      </c>
      <c r="K26" s="90">
        <v>3</v>
      </c>
      <c r="L26" s="89">
        <v>2.6666666666666998</v>
      </c>
      <c r="M26" s="89">
        <v>3.3333333333333002</v>
      </c>
      <c r="N26" s="465" t="str">
        <f>IF(OR(通常わざ表[[#This Row],[タイプ]]=$V$2,通常わざ表[[#This Row],[タイプ]]=$W$2),"↑","")</f>
        <v/>
      </c>
      <c r="O26" s="87">
        <f>IF(OR(通常わざ表[[#This Row],[タイプ]]=$V$2,通常わざ表[[#This Row],[タイプ]]=$W$2),通常わざ表[[#This Row],[威力_g]]*タイプ一致係数,通常わざ表[[#This Row],[威力_g]])</f>
        <v>12</v>
      </c>
      <c r="P26" s="89">
        <f>IF(OR(通常わざ表[[#This Row],[タイプ]]=$V$2,通常わざ表[[#This Row],[タイプ]]=$W$2),通常わざ表[[#This Row],[DPS]]*タイプ一致係数,通常わざ表[[#This Row],[DPS]])</f>
        <v>10.909090909091001</v>
      </c>
      <c r="Q26" s="87">
        <f>IF(OR(通常わざ表[[#This Row],[タイプ]]=$V$2,通常わざ表[[#This Row],[タイプ]]=$W$2),通常わざ表[[#This Row],[威力_m]]*タイプ一致係数,通常わざ表[[#This Row],[威力_m]])</f>
        <v>8</v>
      </c>
      <c r="R26" s="88">
        <f>IF(OR(通常わざ表[[#This Row],[タイプ]]=$V$2,通常わざ表[[#This Row],[タイプ]]=$W$2),通常わざ表[[#This Row],[DPT]]*タイプ一致係数,通常わざ表[[#This Row],[DPT]])</f>
        <v>2.6666666666666998</v>
      </c>
    </row>
    <row r="27" spans="1:18" ht="16.5" x14ac:dyDescent="0.45">
      <c r="A27" s="102" t="s">
        <v>6</v>
      </c>
      <c r="B27" s="102" t="s">
        <v>8</v>
      </c>
      <c r="C27" s="460">
        <v>6</v>
      </c>
      <c r="D27" s="90">
        <v>9</v>
      </c>
      <c r="E27" s="91">
        <v>0.7</v>
      </c>
      <c r="F27" s="89">
        <v>8.5714285714285996</v>
      </c>
      <c r="G27" s="89">
        <v>12.856999999999999</v>
      </c>
      <c r="H27" s="91">
        <v>0.3</v>
      </c>
      <c r="I27" s="460">
        <v>4</v>
      </c>
      <c r="J27" s="90">
        <v>8</v>
      </c>
      <c r="K27" s="90">
        <v>2</v>
      </c>
      <c r="L27" s="89">
        <v>2</v>
      </c>
      <c r="M27" s="89">
        <v>4</v>
      </c>
      <c r="N27" s="465" t="str">
        <f>IF(OR(通常わざ表[[#This Row],[タイプ]]=$V$2,通常わざ表[[#This Row],[タイプ]]=$W$2),"↑","")</f>
        <v/>
      </c>
      <c r="O27" s="87">
        <f>IF(OR(通常わざ表[[#This Row],[タイプ]]=$V$2,通常わざ表[[#This Row],[タイプ]]=$W$2),通常わざ表[[#This Row],[威力_g]]*タイプ一致係数,通常わざ表[[#This Row],[威力_g]])</f>
        <v>6</v>
      </c>
      <c r="P27" s="89">
        <f>IF(OR(通常わざ表[[#This Row],[タイプ]]=$V$2,通常わざ表[[#This Row],[タイプ]]=$W$2),通常わざ表[[#This Row],[DPS]]*タイプ一致係数,通常わざ表[[#This Row],[DPS]])</f>
        <v>8.5714285714285996</v>
      </c>
      <c r="Q27" s="87">
        <f>IF(OR(通常わざ表[[#This Row],[タイプ]]=$V$2,通常わざ表[[#This Row],[タイプ]]=$W$2),通常わざ表[[#This Row],[威力_m]]*タイプ一致係数,通常わざ表[[#This Row],[威力_m]])</f>
        <v>4</v>
      </c>
      <c r="R27" s="88">
        <f>IF(OR(通常わざ表[[#This Row],[タイプ]]=$V$2,通常わざ表[[#This Row],[タイプ]]=$W$2),通常わざ表[[#This Row],[DPT]]*タイプ一致係数,通常わざ表[[#This Row],[DPT]])</f>
        <v>2</v>
      </c>
    </row>
    <row r="28" spans="1:18" ht="16.5" x14ac:dyDescent="0.45">
      <c r="A28" s="93" t="s">
        <v>127</v>
      </c>
      <c r="B28" s="93" t="s">
        <v>68</v>
      </c>
      <c r="C28" s="460">
        <v>5</v>
      </c>
      <c r="D28" s="90">
        <v>5</v>
      </c>
      <c r="E28" s="91">
        <v>0.5</v>
      </c>
      <c r="F28" s="89">
        <v>10</v>
      </c>
      <c r="G28" s="89">
        <v>10</v>
      </c>
      <c r="H28" s="91">
        <v>0.3</v>
      </c>
      <c r="I28" s="460">
        <v>3</v>
      </c>
      <c r="J28" s="90">
        <v>2</v>
      </c>
      <c r="K28" s="90">
        <v>1</v>
      </c>
      <c r="L28" s="89">
        <v>3</v>
      </c>
      <c r="M28" s="89">
        <v>2</v>
      </c>
      <c r="N28" s="465" t="str">
        <f>IF(OR(通常わざ表[[#This Row],[タイプ]]=$V$2,通常わざ表[[#This Row],[タイプ]]=$W$2),"↑","")</f>
        <v/>
      </c>
      <c r="O28" s="87">
        <f>IF(OR(通常わざ表[[#This Row],[タイプ]]=$V$2,通常わざ表[[#This Row],[タイプ]]=$W$2),通常わざ表[[#This Row],[威力_g]]*タイプ一致係数,通常わざ表[[#This Row],[威力_g]])</f>
        <v>5</v>
      </c>
      <c r="P28" s="89">
        <f>IF(OR(通常わざ表[[#This Row],[タイプ]]=$V$2,通常わざ表[[#This Row],[タイプ]]=$W$2),通常わざ表[[#This Row],[DPS]]*タイプ一致係数,通常わざ表[[#This Row],[DPS]])</f>
        <v>10</v>
      </c>
      <c r="Q28" s="87">
        <f>IF(OR(通常わざ表[[#This Row],[タイプ]]=$V$2,通常わざ表[[#This Row],[タイプ]]=$W$2),通常わざ表[[#This Row],[威力_m]]*タイプ一致係数,通常わざ表[[#This Row],[威力_m]])</f>
        <v>3</v>
      </c>
      <c r="R28" s="88">
        <f>IF(OR(通常わざ表[[#This Row],[タイプ]]=$V$2,通常わざ表[[#This Row],[タイプ]]=$W$2),通常わざ表[[#This Row],[DPT]]*タイプ一致係数,通常わざ表[[#This Row],[DPT]])</f>
        <v>3</v>
      </c>
    </row>
    <row r="29" spans="1:18" ht="16.5" x14ac:dyDescent="0.45">
      <c r="A29" s="106" t="s">
        <v>206</v>
      </c>
      <c r="B29" s="106" t="s">
        <v>111</v>
      </c>
      <c r="C29" s="460">
        <v>16</v>
      </c>
      <c r="D29" s="90">
        <v>8</v>
      </c>
      <c r="E29" s="91">
        <v>1.2</v>
      </c>
      <c r="F29" s="89">
        <v>13.333333333333</v>
      </c>
      <c r="G29" s="89">
        <v>6.67</v>
      </c>
      <c r="H29" s="91">
        <v>1</v>
      </c>
      <c r="I29" s="460">
        <v>12</v>
      </c>
      <c r="J29" s="90">
        <v>8</v>
      </c>
      <c r="K29" s="90">
        <v>3</v>
      </c>
      <c r="L29" s="89">
        <v>4</v>
      </c>
      <c r="M29" s="89">
        <v>2.6666666666666998</v>
      </c>
      <c r="N29" s="465" t="str">
        <f>IF(OR(通常わざ表[[#This Row],[タイプ]]=$V$2,通常わざ表[[#This Row],[タイプ]]=$W$2),"↑","")</f>
        <v/>
      </c>
      <c r="O29" s="87">
        <f>IF(OR(通常わざ表[[#This Row],[タイプ]]=$V$2,通常わざ表[[#This Row],[タイプ]]=$W$2),通常わざ表[[#This Row],[威力_g]]*タイプ一致係数,通常わざ表[[#This Row],[威力_g]])</f>
        <v>16</v>
      </c>
      <c r="P29" s="89">
        <f>IF(OR(通常わざ表[[#This Row],[タイプ]]=$V$2,通常わざ表[[#This Row],[タイプ]]=$W$2),通常わざ表[[#This Row],[DPS]]*タイプ一致係数,通常わざ表[[#This Row],[DPS]])</f>
        <v>13.333333333333</v>
      </c>
      <c r="Q29" s="87">
        <f>IF(OR(通常わざ表[[#This Row],[タイプ]]=$V$2,通常わざ表[[#This Row],[タイプ]]=$W$2),通常わざ表[[#This Row],[威力_m]]*タイプ一致係数,通常わざ表[[#This Row],[威力_m]])</f>
        <v>12</v>
      </c>
      <c r="R29" s="88">
        <f>IF(OR(通常わざ表[[#This Row],[タイプ]]=$V$2,通常わざ表[[#This Row],[タイプ]]=$W$2),通常わざ表[[#This Row],[DPT]]*タイプ一致係数,通常わざ表[[#This Row],[DPT]])</f>
        <v>4</v>
      </c>
    </row>
    <row r="30" spans="1:18" ht="16.5" x14ac:dyDescent="0.45">
      <c r="A30" s="98" t="s">
        <v>70</v>
      </c>
      <c r="B30" s="98" t="s">
        <v>16</v>
      </c>
      <c r="C30" s="460">
        <v>10</v>
      </c>
      <c r="D30" s="90">
        <v>15</v>
      </c>
      <c r="E30" s="91">
        <v>1.2</v>
      </c>
      <c r="F30" s="89">
        <v>8.3333333333333002</v>
      </c>
      <c r="G30" s="89">
        <v>12.5</v>
      </c>
      <c r="H30" s="91">
        <v>1</v>
      </c>
      <c r="I30" s="460">
        <v>6</v>
      </c>
      <c r="J30" s="90">
        <v>11</v>
      </c>
      <c r="K30" s="90">
        <v>3</v>
      </c>
      <c r="L30" s="89">
        <v>2</v>
      </c>
      <c r="M30" s="89">
        <v>3.6666666666666998</v>
      </c>
      <c r="N30" s="465" t="str">
        <f>IF(OR(通常わざ表[[#This Row],[タイプ]]=$V$2,通常わざ表[[#This Row],[タイプ]]=$W$2),"↑","")</f>
        <v/>
      </c>
      <c r="O30" s="87">
        <f>IF(OR(通常わざ表[[#This Row],[タイプ]]=$V$2,通常わざ表[[#This Row],[タイプ]]=$W$2),通常わざ表[[#This Row],[威力_g]]*タイプ一致係数,通常わざ表[[#This Row],[威力_g]])</f>
        <v>10</v>
      </c>
      <c r="P30" s="89">
        <f>IF(OR(通常わざ表[[#This Row],[タイプ]]=$V$2,通常わざ表[[#This Row],[タイプ]]=$W$2),通常わざ表[[#This Row],[DPS]]*タイプ一致係数,通常わざ表[[#This Row],[DPS]])</f>
        <v>8.3333333333333002</v>
      </c>
      <c r="Q30" s="87">
        <f>IF(OR(通常わざ表[[#This Row],[タイプ]]=$V$2,通常わざ表[[#This Row],[タイプ]]=$W$2),通常わざ表[[#This Row],[威力_m]]*タイプ一致係数,通常わざ表[[#This Row],[威力_m]])</f>
        <v>6</v>
      </c>
      <c r="R30" s="88">
        <f>IF(OR(通常わざ表[[#This Row],[タイプ]]=$V$2,通常わざ表[[#This Row],[タイプ]]=$W$2),通常わざ表[[#This Row],[DPT]]*タイプ一致係数,通常わざ表[[#This Row],[DPT]])</f>
        <v>2</v>
      </c>
    </row>
    <row r="31" spans="1:18" ht="16.5" x14ac:dyDescent="0.45">
      <c r="A31" s="105" t="s">
        <v>225</v>
      </c>
      <c r="B31" s="105" t="s">
        <v>12</v>
      </c>
      <c r="C31" s="460">
        <v>8</v>
      </c>
      <c r="D31" s="90">
        <v>14</v>
      </c>
      <c r="E31" s="91">
        <v>1.1000000000000001</v>
      </c>
      <c r="F31" s="89">
        <v>7.2727272727273</v>
      </c>
      <c r="G31" s="89">
        <v>12.727</v>
      </c>
      <c r="H31" s="91">
        <v>0.85</v>
      </c>
      <c r="I31" s="460">
        <v>5</v>
      </c>
      <c r="J31" s="90">
        <v>11</v>
      </c>
      <c r="K31" s="90">
        <v>3</v>
      </c>
      <c r="L31" s="89">
        <v>1.6666666666667</v>
      </c>
      <c r="M31" s="89">
        <v>3.6666666666666998</v>
      </c>
      <c r="N31" s="465" t="str">
        <f>IF(OR(通常わざ表[[#This Row],[タイプ]]=$V$2,通常わざ表[[#This Row],[タイプ]]=$W$2),"↑","")</f>
        <v/>
      </c>
      <c r="O31" s="87">
        <f>IF(OR(通常わざ表[[#This Row],[タイプ]]=$V$2,通常わざ表[[#This Row],[タイプ]]=$W$2),通常わざ表[[#This Row],[威力_g]]*タイプ一致係数,通常わざ表[[#This Row],[威力_g]])</f>
        <v>8</v>
      </c>
      <c r="P31" s="89">
        <f>IF(OR(通常わざ表[[#This Row],[タイプ]]=$V$2,通常わざ表[[#This Row],[タイプ]]=$W$2),通常わざ表[[#This Row],[DPS]]*タイプ一致係数,通常わざ表[[#This Row],[DPS]])</f>
        <v>7.2727272727273</v>
      </c>
      <c r="Q31" s="87">
        <f>IF(OR(通常わざ表[[#This Row],[タイプ]]=$V$2,通常わざ表[[#This Row],[タイプ]]=$W$2),通常わざ表[[#This Row],[威力_m]]*タイプ一致係数,通常わざ表[[#This Row],[威力_m]])</f>
        <v>5</v>
      </c>
      <c r="R31" s="88">
        <f>IF(OR(通常わざ表[[#This Row],[タイプ]]=$V$2,通常わざ表[[#This Row],[タイプ]]=$W$2),通常わざ表[[#This Row],[DPT]]*タイプ一致係数,通常わざ表[[#This Row],[DPT]])</f>
        <v>1.6666666666667</v>
      </c>
    </row>
    <row r="32" spans="1:18" ht="16.5" x14ac:dyDescent="0.45">
      <c r="A32" s="109" t="s">
        <v>14</v>
      </c>
      <c r="B32" s="109" t="s">
        <v>78</v>
      </c>
      <c r="C32" s="460">
        <v>10</v>
      </c>
      <c r="D32" s="90">
        <v>9</v>
      </c>
      <c r="E32" s="91">
        <v>0.9</v>
      </c>
      <c r="F32" s="89">
        <v>11.111111111111001</v>
      </c>
      <c r="G32" s="89">
        <v>10</v>
      </c>
      <c r="H32" s="91">
        <v>0.75</v>
      </c>
      <c r="I32" s="460">
        <v>6</v>
      </c>
      <c r="J32" s="90">
        <v>6</v>
      </c>
      <c r="K32" s="90">
        <v>2</v>
      </c>
      <c r="L32" s="89">
        <v>3</v>
      </c>
      <c r="M32" s="89">
        <v>3</v>
      </c>
      <c r="N32" s="465" t="str">
        <f>IF(OR(通常わざ表[[#This Row],[タイプ]]=$V$2,通常わざ表[[#This Row],[タイプ]]=$W$2),"↑","")</f>
        <v/>
      </c>
      <c r="O32" s="87">
        <f>IF(OR(通常わざ表[[#This Row],[タイプ]]=$V$2,通常わざ表[[#This Row],[タイプ]]=$W$2),通常わざ表[[#This Row],[威力_g]]*タイプ一致係数,通常わざ表[[#This Row],[威力_g]])</f>
        <v>10</v>
      </c>
      <c r="P32" s="89">
        <f>IF(OR(通常わざ表[[#This Row],[タイプ]]=$V$2,通常わざ表[[#This Row],[タイプ]]=$W$2),通常わざ表[[#This Row],[DPS]]*タイプ一致係数,通常わざ表[[#This Row],[DPS]])</f>
        <v>11.111111111111001</v>
      </c>
      <c r="Q32" s="87">
        <f>IF(OR(通常わざ表[[#This Row],[タイプ]]=$V$2,通常わざ表[[#This Row],[タイプ]]=$W$2),通常わざ表[[#This Row],[威力_m]]*タイプ一致係数,通常わざ表[[#This Row],[威力_m]])</f>
        <v>6</v>
      </c>
      <c r="R32" s="88">
        <f>IF(OR(通常わざ表[[#This Row],[タイプ]]=$V$2,通常わざ表[[#This Row],[タイプ]]=$W$2),通常わざ表[[#This Row],[DPT]]*タイプ一致係数,通常わざ表[[#This Row],[DPT]])</f>
        <v>3</v>
      </c>
    </row>
    <row r="33" spans="1:18" ht="16.5" x14ac:dyDescent="0.45">
      <c r="A33" s="102" t="s">
        <v>74</v>
      </c>
      <c r="B33" s="102" t="s">
        <v>8</v>
      </c>
      <c r="C33" s="460">
        <v>8</v>
      </c>
      <c r="D33" s="90">
        <v>15</v>
      </c>
      <c r="E33" s="91">
        <v>1.1000000000000001</v>
      </c>
      <c r="F33" s="89">
        <v>7.2727272727273</v>
      </c>
      <c r="G33" s="89">
        <v>13.635999999999999</v>
      </c>
      <c r="H33" s="91">
        <v>0.85</v>
      </c>
      <c r="I33" s="460">
        <v>5</v>
      </c>
      <c r="J33" s="90">
        <v>11</v>
      </c>
      <c r="K33" s="90">
        <v>3</v>
      </c>
      <c r="L33" s="89">
        <v>1.6666666666667</v>
      </c>
      <c r="M33" s="89">
        <v>3.6666666666666998</v>
      </c>
      <c r="N33" s="465" t="str">
        <f>IF(OR(通常わざ表[[#This Row],[タイプ]]=$V$2,通常わざ表[[#This Row],[タイプ]]=$W$2),"↑","")</f>
        <v/>
      </c>
      <c r="O33" s="87">
        <f>IF(OR(通常わざ表[[#This Row],[タイプ]]=$V$2,通常わざ表[[#This Row],[タイプ]]=$W$2),通常わざ表[[#This Row],[威力_g]]*タイプ一致係数,通常わざ表[[#This Row],[威力_g]])</f>
        <v>8</v>
      </c>
      <c r="P33" s="89">
        <f>IF(OR(通常わざ表[[#This Row],[タイプ]]=$V$2,通常わざ表[[#This Row],[タイプ]]=$W$2),通常わざ表[[#This Row],[DPS]]*タイプ一致係数,通常わざ表[[#This Row],[DPS]])</f>
        <v>7.2727272727273</v>
      </c>
      <c r="Q33" s="87">
        <f>IF(OR(通常わざ表[[#This Row],[タイプ]]=$V$2,通常わざ表[[#This Row],[タイプ]]=$W$2),通常わざ表[[#This Row],[威力_m]]*タイプ一致係数,通常わざ表[[#This Row],[威力_m]])</f>
        <v>5</v>
      </c>
      <c r="R33" s="88">
        <f>IF(OR(通常わざ表[[#This Row],[タイプ]]=$V$2,通常わざ表[[#This Row],[タイプ]]=$W$2),通常わざ表[[#This Row],[DPT]]*タイプ一致係数,通常わざ表[[#This Row],[DPT]])</f>
        <v>1.6666666666667</v>
      </c>
    </row>
    <row r="34" spans="1:18" ht="16.5" x14ac:dyDescent="0.45">
      <c r="A34" s="100" t="s">
        <v>1515</v>
      </c>
      <c r="B34" s="100" t="s">
        <v>72</v>
      </c>
      <c r="C34" s="460">
        <v>10</v>
      </c>
      <c r="D34" s="90">
        <v>10</v>
      </c>
      <c r="E34" s="91">
        <v>1</v>
      </c>
      <c r="F34" s="89">
        <v>10</v>
      </c>
      <c r="G34" s="89">
        <v>10</v>
      </c>
      <c r="H34" s="91">
        <v>0.45</v>
      </c>
      <c r="I34" s="460">
        <v>6</v>
      </c>
      <c r="J34" s="90">
        <v>5</v>
      </c>
      <c r="K34" s="90">
        <v>2</v>
      </c>
      <c r="L34" s="89">
        <v>3</v>
      </c>
      <c r="M34" s="89">
        <v>2.5</v>
      </c>
      <c r="N34" s="465" t="str">
        <f>IF(OR(通常わざ表[[#This Row],[タイプ]]=$V$2,通常わざ表[[#This Row],[タイプ]]=$W$2),"↑","")</f>
        <v/>
      </c>
      <c r="O34" s="87">
        <f>IF(OR(通常わざ表[[#This Row],[タイプ]]=$V$2,通常わざ表[[#This Row],[タイプ]]=$W$2),通常わざ表[[#This Row],[威力_g]]*タイプ一致係数,通常わざ表[[#This Row],[威力_g]])</f>
        <v>10</v>
      </c>
      <c r="P34" s="89">
        <f>IF(OR(通常わざ表[[#This Row],[タイプ]]=$V$2,通常わざ表[[#This Row],[タイプ]]=$W$2),通常わざ表[[#This Row],[DPS]]*タイプ一致係数,通常わざ表[[#This Row],[DPS]])</f>
        <v>10</v>
      </c>
      <c r="Q34" s="87">
        <f>IF(OR(通常わざ表[[#This Row],[タイプ]]=$V$2,通常わざ表[[#This Row],[タイプ]]=$W$2),通常わざ表[[#This Row],[威力_m]]*タイプ一致係数,通常わざ表[[#This Row],[威力_m]])</f>
        <v>6</v>
      </c>
      <c r="R34" s="88">
        <f>IF(OR(通常わざ表[[#This Row],[タイプ]]=$V$2,通常わざ表[[#This Row],[タイプ]]=$W$2),通常わざ表[[#This Row],[DPT]]*タイプ一致係数,通常わざ表[[#This Row],[DPT]])</f>
        <v>3</v>
      </c>
    </row>
    <row r="35" spans="1:18" ht="16.5" x14ac:dyDescent="0.45">
      <c r="A35" s="100" t="s">
        <v>1505</v>
      </c>
      <c r="B35" s="100" t="s">
        <v>72</v>
      </c>
      <c r="C35" s="460">
        <v>8</v>
      </c>
      <c r="D35" s="90">
        <v>9</v>
      </c>
      <c r="E35" s="91">
        <v>0.8</v>
      </c>
      <c r="F35" s="89">
        <v>10</v>
      </c>
      <c r="G35" s="89">
        <v>11.25</v>
      </c>
      <c r="H35" s="91">
        <v>0.55000000000000004</v>
      </c>
      <c r="I35" s="460">
        <v>5</v>
      </c>
      <c r="J35" s="90">
        <v>7</v>
      </c>
      <c r="K35" s="90">
        <v>2</v>
      </c>
      <c r="L35" s="89">
        <v>2.5</v>
      </c>
      <c r="M35" s="89">
        <v>3.5</v>
      </c>
      <c r="N35" s="465" t="str">
        <f>IF(OR(通常わざ表[[#This Row],[タイプ]]=$V$2,通常わざ表[[#This Row],[タイプ]]=$W$2),"↑","")</f>
        <v/>
      </c>
      <c r="O35" s="87">
        <f>IF(OR(通常わざ表[[#This Row],[タイプ]]=$V$2,通常わざ表[[#This Row],[タイプ]]=$W$2),通常わざ表[[#This Row],[威力_g]]*タイプ一致係数,通常わざ表[[#This Row],[威力_g]])</f>
        <v>8</v>
      </c>
      <c r="P35" s="89">
        <f>IF(OR(通常わざ表[[#This Row],[タイプ]]=$V$2,通常わざ表[[#This Row],[タイプ]]=$W$2),通常わざ表[[#This Row],[DPS]]*タイプ一致係数,通常わざ表[[#This Row],[DPS]])</f>
        <v>10</v>
      </c>
      <c r="Q35" s="87">
        <f>IF(OR(通常わざ表[[#This Row],[タイプ]]=$V$2,通常わざ表[[#This Row],[タイプ]]=$W$2),通常わざ表[[#This Row],[威力_m]]*タイプ一致係数,通常わざ表[[#This Row],[威力_m]])</f>
        <v>5</v>
      </c>
      <c r="R35" s="88">
        <f>IF(OR(通常わざ表[[#This Row],[タイプ]]=$V$2,通常わざ表[[#This Row],[タイプ]]=$W$2),通常わざ表[[#This Row],[DPT]]*タイプ一致係数,通常わざ表[[#This Row],[DPT]])</f>
        <v>2.5</v>
      </c>
    </row>
    <row r="36" spans="1:18" ht="16.5" x14ac:dyDescent="0.45">
      <c r="A36" s="105" t="s">
        <v>24</v>
      </c>
      <c r="B36" s="105" t="s">
        <v>12</v>
      </c>
      <c r="C36" s="460">
        <v>7</v>
      </c>
      <c r="D36" s="90">
        <v>6</v>
      </c>
      <c r="E36" s="91">
        <v>0.6</v>
      </c>
      <c r="F36" s="89">
        <v>11.666666666667</v>
      </c>
      <c r="G36" s="89">
        <v>10</v>
      </c>
      <c r="H36" s="91">
        <v>0.35</v>
      </c>
      <c r="I36" s="460">
        <v>5</v>
      </c>
      <c r="J36" s="90">
        <v>8</v>
      </c>
      <c r="K36" s="90">
        <v>2</v>
      </c>
      <c r="L36" s="89">
        <v>2.5</v>
      </c>
      <c r="M36" s="89">
        <v>4</v>
      </c>
      <c r="N36" s="465" t="str">
        <f>IF(OR(通常わざ表[[#This Row],[タイプ]]=$V$2,通常わざ表[[#This Row],[タイプ]]=$W$2),"↑","")</f>
        <v/>
      </c>
      <c r="O36" s="87">
        <f>IF(OR(通常わざ表[[#This Row],[タイプ]]=$V$2,通常わざ表[[#This Row],[タイプ]]=$W$2),通常わざ表[[#This Row],[威力_g]]*タイプ一致係数,通常わざ表[[#This Row],[威力_g]])</f>
        <v>7</v>
      </c>
      <c r="P36" s="89">
        <f>IF(OR(通常わざ表[[#This Row],[タイプ]]=$V$2,通常わざ表[[#This Row],[タイプ]]=$W$2),通常わざ表[[#This Row],[DPS]]*タイプ一致係数,通常わざ表[[#This Row],[DPS]])</f>
        <v>11.666666666667</v>
      </c>
      <c r="Q36" s="87">
        <f>IF(OR(通常わざ表[[#This Row],[タイプ]]=$V$2,通常わざ表[[#This Row],[タイプ]]=$W$2),通常わざ表[[#This Row],[威力_m]]*タイプ一致係数,通常わざ表[[#This Row],[威力_m]])</f>
        <v>5</v>
      </c>
      <c r="R36" s="88">
        <f>IF(OR(通常わざ表[[#This Row],[タイプ]]=$V$2,通常わざ表[[#This Row],[タイプ]]=$W$2),通常わざ表[[#This Row],[DPT]]*タイプ一致係数,通常わざ表[[#This Row],[DPT]])</f>
        <v>2.5</v>
      </c>
    </row>
    <row r="37" spans="1:18" ht="16.5" x14ac:dyDescent="0.45">
      <c r="A37" s="102" t="s">
        <v>115</v>
      </c>
      <c r="B37" s="102" t="s">
        <v>8</v>
      </c>
      <c r="C37" s="460">
        <v>5</v>
      </c>
      <c r="D37" s="90">
        <v>8</v>
      </c>
      <c r="E37" s="91">
        <v>0.6</v>
      </c>
      <c r="F37" s="89">
        <v>8.3333333333333002</v>
      </c>
      <c r="G37" s="89">
        <v>13.333</v>
      </c>
      <c r="H37" s="91">
        <v>0.3</v>
      </c>
      <c r="I37" s="460">
        <v>3</v>
      </c>
      <c r="J37" s="90">
        <v>9</v>
      </c>
      <c r="K37" s="90">
        <v>2</v>
      </c>
      <c r="L37" s="89">
        <v>1.5</v>
      </c>
      <c r="M37" s="89">
        <v>4.5</v>
      </c>
      <c r="N37" s="465" t="str">
        <f>IF(OR(通常わざ表[[#This Row],[タイプ]]=$V$2,通常わざ表[[#This Row],[タイプ]]=$W$2),"↑","")</f>
        <v/>
      </c>
      <c r="O37" s="87">
        <f>IF(OR(通常わざ表[[#This Row],[タイプ]]=$V$2,通常わざ表[[#This Row],[タイプ]]=$W$2),通常わざ表[[#This Row],[威力_g]]*タイプ一致係数,通常わざ表[[#This Row],[威力_g]])</f>
        <v>5</v>
      </c>
      <c r="P37" s="89">
        <f>IF(OR(通常わざ表[[#This Row],[タイプ]]=$V$2,通常わざ表[[#This Row],[タイプ]]=$W$2),通常わざ表[[#This Row],[DPS]]*タイプ一致係数,通常わざ表[[#This Row],[DPS]])</f>
        <v>8.3333333333333002</v>
      </c>
      <c r="Q37" s="87">
        <f>IF(OR(通常わざ表[[#This Row],[タイプ]]=$V$2,通常わざ表[[#This Row],[タイプ]]=$W$2),通常わざ表[[#This Row],[威力_m]]*タイプ一致係数,通常わざ表[[#This Row],[威力_m]])</f>
        <v>3</v>
      </c>
      <c r="R37" s="88">
        <f>IF(OR(通常わざ表[[#This Row],[タイプ]]=$V$2,通常わざ表[[#This Row],[タイプ]]=$W$2),通常わざ表[[#This Row],[DPT]]*タイプ一致係数,通常わざ表[[#This Row],[DPT]])</f>
        <v>1.5</v>
      </c>
    </row>
    <row r="38" spans="1:18" ht="16.5" x14ac:dyDescent="0.45">
      <c r="A38" s="93" t="s">
        <v>291</v>
      </c>
      <c r="B38" s="93" t="s">
        <v>68</v>
      </c>
      <c r="C38" s="460">
        <v>8</v>
      </c>
      <c r="D38" s="90">
        <v>10</v>
      </c>
      <c r="E38" s="91">
        <v>0.8</v>
      </c>
      <c r="F38" s="89">
        <v>10</v>
      </c>
      <c r="G38" s="89">
        <v>12.5</v>
      </c>
      <c r="H38" s="91">
        <v>0.25</v>
      </c>
      <c r="I38" s="460">
        <v>5</v>
      </c>
      <c r="J38" s="90">
        <v>7</v>
      </c>
      <c r="K38" s="90">
        <v>2</v>
      </c>
      <c r="L38" s="89">
        <v>2.5</v>
      </c>
      <c r="M38" s="89">
        <v>3.5</v>
      </c>
      <c r="N38" s="465" t="str">
        <f>IF(OR(通常わざ表[[#This Row],[タイプ]]=$V$2,通常わざ表[[#This Row],[タイプ]]=$W$2),"↑","")</f>
        <v/>
      </c>
      <c r="O38" s="87">
        <f>IF(OR(通常わざ表[[#This Row],[タイプ]]=$V$2,通常わざ表[[#This Row],[タイプ]]=$W$2),通常わざ表[[#This Row],[威力_g]]*タイプ一致係数,通常わざ表[[#This Row],[威力_g]])</f>
        <v>8</v>
      </c>
      <c r="P38" s="89">
        <f>IF(OR(通常わざ表[[#This Row],[タイプ]]=$V$2,通常わざ表[[#This Row],[タイプ]]=$W$2),通常わざ表[[#This Row],[DPS]]*タイプ一致係数,通常わざ表[[#This Row],[DPS]])</f>
        <v>10</v>
      </c>
      <c r="Q38" s="87">
        <f>IF(OR(通常わざ表[[#This Row],[タイプ]]=$V$2,通常わざ表[[#This Row],[タイプ]]=$W$2),通常わざ表[[#This Row],[威力_m]]*タイプ一致係数,通常わざ表[[#This Row],[威力_m]])</f>
        <v>5</v>
      </c>
      <c r="R38" s="88">
        <f>IF(OR(通常わざ表[[#This Row],[タイプ]]=$V$2,通常わざ表[[#This Row],[タイプ]]=$W$2),通常わざ表[[#This Row],[DPT]]*タイプ一致係数,通常わざ表[[#This Row],[DPT]])</f>
        <v>2.5</v>
      </c>
    </row>
    <row r="39" spans="1:18" ht="16.5" x14ac:dyDescent="0.45">
      <c r="A39" s="96" t="s">
        <v>171</v>
      </c>
      <c r="B39" s="96" t="s">
        <v>32</v>
      </c>
      <c r="C39" s="460">
        <v>10</v>
      </c>
      <c r="D39" s="90">
        <v>7</v>
      </c>
      <c r="E39" s="91">
        <v>0.8</v>
      </c>
      <c r="F39" s="89">
        <v>12.5</v>
      </c>
      <c r="G39" s="89">
        <v>8.75</v>
      </c>
      <c r="H39" s="91">
        <v>0.2</v>
      </c>
      <c r="I39" s="460">
        <v>6</v>
      </c>
      <c r="J39" s="90">
        <v>7</v>
      </c>
      <c r="K39" s="90">
        <v>2</v>
      </c>
      <c r="L39" s="89">
        <v>3</v>
      </c>
      <c r="M39" s="89">
        <v>3.5</v>
      </c>
      <c r="N39" s="465" t="str">
        <f>IF(OR(通常わざ表[[#This Row],[タイプ]]=$V$2,通常わざ表[[#This Row],[タイプ]]=$W$2),"↑","")</f>
        <v/>
      </c>
      <c r="O39" s="87">
        <f>IF(OR(通常わざ表[[#This Row],[タイプ]]=$V$2,通常わざ表[[#This Row],[タイプ]]=$W$2),通常わざ表[[#This Row],[威力_g]]*タイプ一致係数,通常わざ表[[#This Row],[威力_g]])</f>
        <v>10</v>
      </c>
      <c r="P39" s="89">
        <f>IF(OR(通常わざ表[[#This Row],[タイプ]]=$V$2,通常わざ表[[#This Row],[タイプ]]=$W$2),通常わざ表[[#This Row],[DPS]]*タイプ一致係数,通常わざ表[[#This Row],[DPS]])</f>
        <v>12.5</v>
      </c>
      <c r="Q39" s="87">
        <f>IF(OR(通常わざ表[[#This Row],[タイプ]]=$V$2,通常わざ表[[#This Row],[タイプ]]=$W$2),通常わざ表[[#This Row],[威力_m]]*タイプ一致係数,通常わざ表[[#This Row],[威力_m]])</f>
        <v>6</v>
      </c>
      <c r="R39" s="88">
        <f>IF(OR(通常わざ表[[#This Row],[タイプ]]=$V$2,通常わざ表[[#This Row],[タイプ]]=$W$2),通常わざ表[[#This Row],[DPT]]*タイプ一致係数,通常わざ表[[#This Row],[DPT]])</f>
        <v>3</v>
      </c>
    </row>
    <row r="40" spans="1:18" ht="16.5" x14ac:dyDescent="0.45">
      <c r="A40" s="96" t="s">
        <v>92</v>
      </c>
      <c r="B40" s="96" t="s">
        <v>32</v>
      </c>
      <c r="C40" s="460">
        <v>5</v>
      </c>
      <c r="D40" s="90">
        <v>7</v>
      </c>
      <c r="E40" s="91">
        <v>0.6</v>
      </c>
      <c r="F40" s="89">
        <v>8.3333333333333002</v>
      </c>
      <c r="G40" s="89">
        <v>11.667</v>
      </c>
      <c r="H40" s="91">
        <v>0.375</v>
      </c>
      <c r="I40" s="460">
        <v>3</v>
      </c>
      <c r="J40" s="90">
        <v>6</v>
      </c>
      <c r="K40" s="90">
        <v>2</v>
      </c>
      <c r="L40" s="89">
        <v>1.5</v>
      </c>
      <c r="M40" s="89">
        <v>3</v>
      </c>
      <c r="N40" s="465" t="str">
        <f>IF(OR(通常わざ表[[#This Row],[タイプ]]=$V$2,通常わざ表[[#This Row],[タイプ]]=$W$2),"↑","")</f>
        <v/>
      </c>
      <c r="O40" s="87">
        <f>IF(OR(通常わざ表[[#This Row],[タイプ]]=$V$2,通常わざ表[[#This Row],[タイプ]]=$W$2),通常わざ表[[#This Row],[威力_g]]*タイプ一致係数,通常わざ表[[#This Row],[威力_g]])</f>
        <v>5</v>
      </c>
      <c r="P40" s="89">
        <f>IF(OR(通常わざ表[[#This Row],[タイプ]]=$V$2,通常わざ表[[#This Row],[タイプ]]=$W$2),通常わざ表[[#This Row],[DPS]]*タイプ一致係数,通常わざ表[[#This Row],[DPS]])</f>
        <v>8.3333333333333002</v>
      </c>
      <c r="Q40" s="87">
        <f>IF(OR(通常わざ表[[#This Row],[タイプ]]=$V$2,通常わざ表[[#This Row],[タイプ]]=$W$2),通常わざ表[[#This Row],[威力_m]]*タイプ一致係数,通常わざ表[[#This Row],[威力_m]])</f>
        <v>3</v>
      </c>
      <c r="R40" s="88">
        <f>IF(OR(通常わざ表[[#This Row],[タイプ]]=$V$2,通常わざ表[[#This Row],[タイプ]]=$W$2),通常わざ表[[#This Row],[DPT]]*タイプ一致係数,通常わざ表[[#This Row],[DPT]])</f>
        <v>1.5</v>
      </c>
    </row>
    <row r="41" spans="1:18" ht="16.5" x14ac:dyDescent="0.45">
      <c r="A41" s="93" t="s">
        <v>173</v>
      </c>
      <c r="B41" s="93" t="s">
        <v>68</v>
      </c>
      <c r="C41" s="460">
        <v>8</v>
      </c>
      <c r="D41" s="90">
        <v>10</v>
      </c>
      <c r="E41" s="91">
        <v>1.2</v>
      </c>
      <c r="F41" s="89">
        <v>6.6666666666666998</v>
      </c>
      <c r="G41" s="89">
        <v>8.33</v>
      </c>
      <c r="H41" s="91">
        <v>0.95</v>
      </c>
      <c r="I41" s="460">
        <v>5</v>
      </c>
      <c r="J41" s="90">
        <v>8</v>
      </c>
      <c r="K41" s="90">
        <v>3</v>
      </c>
      <c r="L41" s="89">
        <v>1.6666666666667</v>
      </c>
      <c r="M41" s="89">
        <v>2.6666666666666998</v>
      </c>
      <c r="N41" s="465" t="str">
        <f>IF(OR(通常わざ表[[#This Row],[タイプ]]=$V$2,通常わざ表[[#This Row],[タイプ]]=$W$2),"↑","")</f>
        <v/>
      </c>
      <c r="O41" s="87">
        <f>IF(OR(通常わざ表[[#This Row],[タイプ]]=$V$2,通常わざ表[[#This Row],[タイプ]]=$W$2),通常わざ表[[#This Row],[威力_g]]*タイプ一致係数,通常わざ表[[#This Row],[威力_g]])</f>
        <v>8</v>
      </c>
      <c r="P41" s="89">
        <f>IF(OR(通常わざ表[[#This Row],[タイプ]]=$V$2,通常わざ表[[#This Row],[タイプ]]=$W$2),通常わざ表[[#This Row],[DPS]]*タイプ一致係数,通常わざ表[[#This Row],[DPS]])</f>
        <v>6.6666666666666998</v>
      </c>
      <c r="Q41" s="87">
        <f>IF(OR(通常わざ表[[#This Row],[タイプ]]=$V$2,通常わざ表[[#This Row],[タイプ]]=$W$2),通常わざ表[[#This Row],[威力_m]]*タイプ一致係数,通常わざ表[[#This Row],[威力_m]])</f>
        <v>5</v>
      </c>
      <c r="R41" s="88">
        <f>IF(OR(通常わざ表[[#This Row],[タイプ]]=$V$2,通常わざ表[[#This Row],[タイプ]]=$W$2),通常わざ表[[#This Row],[DPT]]*タイプ一致係数,通常わざ表[[#This Row],[DPT]])</f>
        <v>1.6666666666667</v>
      </c>
    </row>
    <row r="42" spans="1:18" ht="16.5" x14ac:dyDescent="0.45">
      <c r="A42" s="95" t="s">
        <v>88</v>
      </c>
      <c r="B42" s="95" t="s">
        <v>90</v>
      </c>
      <c r="C42" s="460">
        <v>15</v>
      </c>
      <c r="D42" s="90">
        <v>9</v>
      </c>
      <c r="E42" s="91">
        <v>1.1000000000000001</v>
      </c>
      <c r="F42" s="89">
        <v>13.636363636364001</v>
      </c>
      <c r="G42" s="89">
        <v>8.1820000000000004</v>
      </c>
      <c r="H42" s="91">
        <v>0.85</v>
      </c>
      <c r="I42" s="460">
        <v>9</v>
      </c>
      <c r="J42" s="90">
        <v>10</v>
      </c>
      <c r="K42" s="90">
        <v>3</v>
      </c>
      <c r="L42" s="89">
        <v>3</v>
      </c>
      <c r="M42" s="89">
        <v>3.3333333333333002</v>
      </c>
      <c r="N42" s="465" t="str">
        <f>IF(OR(通常わざ表[[#This Row],[タイプ]]=$V$2,通常わざ表[[#This Row],[タイプ]]=$W$2),"↑","")</f>
        <v/>
      </c>
      <c r="O42" s="87">
        <f>IF(OR(通常わざ表[[#This Row],[タイプ]]=$V$2,通常わざ表[[#This Row],[タイプ]]=$W$2),通常わざ表[[#This Row],[威力_g]]*タイプ一致係数,通常わざ表[[#This Row],[威力_g]])</f>
        <v>15</v>
      </c>
      <c r="P42" s="89">
        <f>IF(OR(通常わざ表[[#This Row],[タイプ]]=$V$2,通常わざ表[[#This Row],[タイプ]]=$W$2),通常わざ表[[#This Row],[DPS]]*タイプ一致係数,通常わざ表[[#This Row],[DPS]])</f>
        <v>13.636363636364001</v>
      </c>
      <c r="Q42" s="87">
        <f>IF(OR(通常わざ表[[#This Row],[タイプ]]=$V$2,通常わざ表[[#This Row],[タイプ]]=$W$2),通常わざ表[[#This Row],[威力_m]]*タイプ一致係数,通常わざ表[[#This Row],[威力_m]])</f>
        <v>9</v>
      </c>
      <c r="R42" s="88">
        <f>IF(OR(通常わざ表[[#This Row],[タイプ]]=$V$2,通常わざ表[[#This Row],[タイプ]]=$W$2),通常わざ表[[#This Row],[DPT]]*タイプ一致係数,通常わざ表[[#This Row],[DPT]])</f>
        <v>3</v>
      </c>
    </row>
    <row r="43" spans="1:18" ht="16.5" x14ac:dyDescent="0.45">
      <c r="A43" s="104" t="s">
        <v>80</v>
      </c>
      <c r="B43" s="104" t="s">
        <v>3</v>
      </c>
      <c r="C43" s="460">
        <v>18</v>
      </c>
      <c r="D43" s="90">
        <v>12</v>
      </c>
      <c r="E43" s="91">
        <v>1.4</v>
      </c>
      <c r="F43" s="89">
        <v>12.857142857143</v>
      </c>
      <c r="G43" s="89">
        <v>8.5709999999999997</v>
      </c>
      <c r="H43" s="91">
        <v>1.1499999999999999</v>
      </c>
      <c r="I43" s="460">
        <v>11</v>
      </c>
      <c r="J43" s="90">
        <v>8</v>
      </c>
      <c r="K43" s="90">
        <v>3</v>
      </c>
      <c r="L43" s="89">
        <v>3.6666666666666998</v>
      </c>
      <c r="M43" s="89">
        <v>2.6666666666666998</v>
      </c>
      <c r="N43" s="465" t="str">
        <f>IF(OR(通常わざ表[[#This Row],[タイプ]]=$V$2,通常わざ表[[#This Row],[タイプ]]=$W$2),"↑","")</f>
        <v/>
      </c>
      <c r="O43" s="87">
        <f>IF(OR(通常わざ表[[#This Row],[タイプ]]=$V$2,通常わざ表[[#This Row],[タイプ]]=$W$2),通常わざ表[[#This Row],[威力_g]]*タイプ一致係数,通常わざ表[[#This Row],[威力_g]])</f>
        <v>18</v>
      </c>
      <c r="P43" s="89">
        <f>IF(OR(通常わざ表[[#This Row],[タイプ]]=$V$2,通常わざ表[[#This Row],[タイプ]]=$W$2),通常わざ表[[#This Row],[DPS]]*タイプ一致係数,通常わざ表[[#This Row],[DPS]])</f>
        <v>12.857142857143</v>
      </c>
      <c r="Q43" s="87">
        <f>IF(OR(通常わざ表[[#This Row],[タイプ]]=$V$2,通常わざ表[[#This Row],[タイプ]]=$W$2),通常わざ表[[#This Row],[威力_m]]*タイプ一致係数,通常わざ表[[#This Row],[威力_m]])</f>
        <v>11</v>
      </c>
      <c r="R43" s="88">
        <f>IF(OR(通常わざ表[[#This Row],[タイプ]]=$V$2,通常わざ表[[#This Row],[タイプ]]=$W$2),通常わざ表[[#This Row],[DPT]]*タイプ一致係数,通常わざ表[[#This Row],[DPT]])</f>
        <v>3.6666666666666998</v>
      </c>
    </row>
    <row r="44" spans="1:18" ht="16.5" x14ac:dyDescent="0.45">
      <c r="A44" s="103" t="s">
        <v>101</v>
      </c>
      <c r="B44" s="103" t="s">
        <v>18</v>
      </c>
      <c r="C44" s="460">
        <v>20</v>
      </c>
      <c r="D44" s="90">
        <v>15</v>
      </c>
      <c r="E44" s="91">
        <v>1.6</v>
      </c>
      <c r="F44" s="89">
        <v>12.5</v>
      </c>
      <c r="G44" s="89">
        <v>9.375</v>
      </c>
      <c r="H44" s="91">
        <v>0.6</v>
      </c>
      <c r="I44" s="460">
        <v>16</v>
      </c>
      <c r="J44" s="90">
        <v>12</v>
      </c>
      <c r="K44" s="90">
        <v>4</v>
      </c>
      <c r="L44" s="89">
        <v>4</v>
      </c>
      <c r="M44" s="89">
        <v>3</v>
      </c>
      <c r="N44" s="465" t="str">
        <f>IF(OR(通常わざ表[[#This Row],[タイプ]]=$V$2,通常わざ表[[#This Row],[タイプ]]=$W$2),"↑","")</f>
        <v/>
      </c>
      <c r="O44" s="87">
        <f>IF(OR(通常わざ表[[#This Row],[タイプ]]=$V$2,通常わざ表[[#This Row],[タイプ]]=$W$2),通常わざ表[[#This Row],[威力_g]]*タイプ一致係数,通常わざ表[[#This Row],[威力_g]])</f>
        <v>20</v>
      </c>
      <c r="P44" s="89">
        <f>IF(OR(通常わざ表[[#This Row],[タイプ]]=$V$2,通常わざ表[[#This Row],[タイプ]]=$W$2),通常わざ表[[#This Row],[DPS]]*タイプ一致係数,通常わざ表[[#This Row],[DPS]])</f>
        <v>12.5</v>
      </c>
      <c r="Q44" s="87">
        <f>IF(OR(通常わざ表[[#This Row],[タイプ]]=$V$2,通常わざ表[[#This Row],[タイプ]]=$W$2),通常わざ表[[#This Row],[威力_m]]*タイプ一致係数,通常わざ表[[#This Row],[威力_m]])</f>
        <v>16</v>
      </c>
      <c r="R44" s="88">
        <f>IF(OR(通常わざ表[[#This Row],[タイプ]]=$V$2,通常わざ表[[#This Row],[タイプ]]=$W$2),通常わざ表[[#This Row],[DPT]]*タイプ一致係数,通常わざ表[[#This Row],[DPT]])</f>
        <v>4</v>
      </c>
    </row>
    <row r="45" spans="1:18" ht="16.5" x14ac:dyDescent="0.45">
      <c r="A45" s="109" t="s">
        <v>20</v>
      </c>
      <c r="B45" s="109" t="s">
        <v>78</v>
      </c>
      <c r="C45" s="460">
        <v>12</v>
      </c>
      <c r="D45" s="90">
        <v>14</v>
      </c>
      <c r="E45" s="91">
        <v>1.1000000000000001</v>
      </c>
      <c r="F45" s="89">
        <v>10.909090909091001</v>
      </c>
      <c r="G45" s="89">
        <v>12.727</v>
      </c>
      <c r="H45" s="91">
        <v>0.85</v>
      </c>
      <c r="I45" s="460">
        <v>5</v>
      </c>
      <c r="J45" s="90">
        <v>13</v>
      </c>
      <c r="K45" s="90">
        <v>3</v>
      </c>
      <c r="L45" s="89">
        <v>1.6666666666667</v>
      </c>
      <c r="M45" s="89">
        <v>4.3333333333333002</v>
      </c>
      <c r="N45" s="465" t="str">
        <f>IF(OR(通常わざ表[[#This Row],[タイプ]]=$V$2,通常わざ表[[#This Row],[タイプ]]=$W$2),"↑","")</f>
        <v/>
      </c>
      <c r="O45" s="87">
        <f>IF(OR(通常わざ表[[#This Row],[タイプ]]=$V$2,通常わざ表[[#This Row],[タイプ]]=$W$2),通常わざ表[[#This Row],[威力_g]]*タイプ一致係数,通常わざ表[[#This Row],[威力_g]])</f>
        <v>12</v>
      </c>
      <c r="P45" s="89">
        <f>IF(OR(通常わざ表[[#This Row],[タイプ]]=$V$2,通常わざ表[[#This Row],[タイプ]]=$W$2),通常わざ表[[#This Row],[DPS]]*タイプ一致係数,通常わざ表[[#This Row],[DPS]])</f>
        <v>10.909090909091001</v>
      </c>
      <c r="Q45" s="87">
        <f>IF(OR(通常わざ表[[#This Row],[タイプ]]=$V$2,通常わざ表[[#This Row],[タイプ]]=$W$2),通常わざ表[[#This Row],[威力_m]]*タイプ一致係数,通常わざ表[[#This Row],[威力_m]])</f>
        <v>5</v>
      </c>
      <c r="R45" s="88">
        <f>IF(OR(通常わざ表[[#This Row],[タイプ]]=$V$2,通常わざ表[[#This Row],[タイプ]]=$W$2),通常わざ表[[#This Row],[DPT]]*タイプ一致係数,通常わざ表[[#This Row],[DPT]])</f>
        <v>1.6666666666667</v>
      </c>
    </row>
    <row r="46" spans="1:18" ht="16.5" x14ac:dyDescent="0.45">
      <c r="A46" s="97" t="s">
        <v>185</v>
      </c>
      <c r="B46" s="97" t="s">
        <v>4</v>
      </c>
      <c r="C46" s="460">
        <v>11</v>
      </c>
      <c r="D46" s="90">
        <v>6</v>
      </c>
      <c r="E46" s="91">
        <v>0.8</v>
      </c>
      <c r="F46" s="89">
        <v>13.75</v>
      </c>
      <c r="G46" s="89">
        <v>7.5</v>
      </c>
      <c r="H46" s="91">
        <v>0.5</v>
      </c>
      <c r="I46" s="460">
        <v>7</v>
      </c>
      <c r="J46" s="90">
        <v>5</v>
      </c>
      <c r="K46" s="90">
        <v>2</v>
      </c>
      <c r="L46" s="89">
        <v>3.5</v>
      </c>
      <c r="M46" s="89">
        <v>2.5</v>
      </c>
      <c r="N46" s="465" t="str">
        <f>IF(OR(通常わざ表[[#This Row],[タイプ]]=$V$2,通常わざ表[[#This Row],[タイプ]]=$W$2),"↑","")</f>
        <v/>
      </c>
      <c r="O46" s="87">
        <f>IF(OR(通常わざ表[[#This Row],[タイプ]]=$V$2,通常わざ表[[#This Row],[タイプ]]=$W$2),通常わざ表[[#This Row],[威力_g]]*タイプ一致係数,通常わざ表[[#This Row],[威力_g]])</f>
        <v>11</v>
      </c>
      <c r="P46" s="89">
        <f>IF(OR(通常わざ表[[#This Row],[タイプ]]=$V$2,通常わざ表[[#This Row],[タイプ]]=$W$2),通常わざ表[[#This Row],[DPS]]*タイプ一致係数,通常わざ表[[#This Row],[DPS]])</f>
        <v>13.75</v>
      </c>
      <c r="Q46" s="87">
        <f>IF(OR(通常わざ表[[#This Row],[タイプ]]=$V$2,通常わざ表[[#This Row],[タイプ]]=$W$2),通常わざ表[[#This Row],[威力_m]]*タイプ一致係数,通常わざ表[[#This Row],[威力_m]])</f>
        <v>7</v>
      </c>
      <c r="R46" s="88">
        <f>IF(OR(通常わざ表[[#This Row],[タイプ]]=$V$2,通常わざ表[[#This Row],[タイプ]]=$W$2),通常わざ表[[#This Row],[DPT]]*タイプ一致係数,通常わざ表[[#This Row],[DPT]])</f>
        <v>3.5</v>
      </c>
    </row>
    <row r="47" spans="1:18" ht="16.5" x14ac:dyDescent="0.45">
      <c r="A47" s="93" t="s">
        <v>288</v>
      </c>
      <c r="B47" s="93" t="s">
        <v>68</v>
      </c>
      <c r="C47" s="460">
        <v>7</v>
      </c>
      <c r="D47" s="90">
        <v>6</v>
      </c>
      <c r="E47" s="91">
        <v>0.6</v>
      </c>
      <c r="F47" s="89">
        <v>11.666666666667</v>
      </c>
      <c r="G47" s="89">
        <v>10</v>
      </c>
      <c r="H47" s="91">
        <v>0.34</v>
      </c>
      <c r="I47" s="460">
        <v>5</v>
      </c>
      <c r="J47" s="90">
        <v>4</v>
      </c>
      <c r="K47" s="90">
        <v>2</v>
      </c>
      <c r="L47" s="89">
        <v>2.5</v>
      </c>
      <c r="M47" s="89">
        <v>2</v>
      </c>
      <c r="N47" s="465" t="str">
        <f>IF(OR(通常わざ表[[#This Row],[タイプ]]=$V$2,通常わざ表[[#This Row],[タイプ]]=$W$2),"↑","")</f>
        <v/>
      </c>
      <c r="O47" s="87">
        <f>IF(OR(通常わざ表[[#This Row],[タイプ]]=$V$2,通常わざ表[[#This Row],[タイプ]]=$W$2),通常わざ表[[#This Row],[威力_g]]*タイプ一致係数,通常わざ表[[#This Row],[威力_g]])</f>
        <v>7</v>
      </c>
      <c r="P47" s="89">
        <f>IF(OR(通常わざ表[[#This Row],[タイプ]]=$V$2,通常わざ表[[#This Row],[タイプ]]=$W$2),通常わざ表[[#This Row],[DPS]]*タイプ一致係数,通常わざ表[[#This Row],[DPS]])</f>
        <v>11.666666666667</v>
      </c>
      <c r="Q47" s="87">
        <f>IF(OR(通常わざ表[[#This Row],[タイプ]]=$V$2,通常わざ表[[#This Row],[タイプ]]=$W$2),通常わざ表[[#This Row],[威力_m]]*タイプ一致係数,通常わざ表[[#This Row],[威力_m]])</f>
        <v>5</v>
      </c>
      <c r="R47" s="88">
        <f>IF(OR(通常わざ表[[#This Row],[タイプ]]=$V$2,通常わざ表[[#This Row],[タイプ]]=$W$2),通常わざ表[[#This Row],[DPT]]*タイプ一致係数,通常わざ表[[#This Row],[DPT]])</f>
        <v>2.5</v>
      </c>
    </row>
    <row r="48" spans="1:18" ht="16.5" x14ac:dyDescent="0.45">
      <c r="A48" s="105" t="s">
        <v>64</v>
      </c>
      <c r="B48" s="105" t="s">
        <v>12</v>
      </c>
      <c r="C48" s="460">
        <v>13</v>
      </c>
      <c r="D48" s="90">
        <v>7</v>
      </c>
      <c r="E48" s="91">
        <v>1</v>
      </c>
      <c r="F48" s="89">
        <v>13</v>
      </c>
      <c r="G48" s="89">
        <v>7</v>
      </c>
      <c r="H48" s="91">
        <v>0.6</v>
      </c>
      <c r="I48" s="460">
        <v>11</v>
      </c>
      <c r="J48" s="90">
        <v>4</v>
      </c>
      <c r="K48" s="90">
        <v>2</v>
      </c>
      <c r="L48" s="89">
        <v>5.5</v>
      </c>
      <c r="M48" s="89">
        <v>2</v>
      </c>
      <c r="N48" s="465" t="str">
        <f>IF(OR(通常わざ表[[#This Row],[タイプ]]=$V$2,通常わざ表[[#This Row],[タイプ]]=$W$2),"↑","")</f>
        <v/>
      </c>
      <c r="O48" s="87">
        <f>IF(OR(通常わざ表[[#This Row],[タイプ]]=$V$2,通常わざ表[[#This Row],[タイプ]]=$W$2),通常わざ表[[#This Row],[威力_g]]*タイプ一致係数,通常わざ表[[#This Row],[威力_g]])</f>
        <v>13</v>
      </c>
      <c r="P48" s="89">
        <f>IF(OR(通常わざ表[[#This Row],[タイプ]]=$V$2,通常わざ表[[#This Row],[タイプ]]=$W$2),通常わざ表[[#This Row],[DPS]]*タイプ一致係数,通常わざ表[[#This Row],[DPS]])</f>
        <v>13</v>
      </c>
      <c r="Q48" s="87">
        <f>IF(OR(通常わざ表[[#This Row],[タイプ]]=$V$2,通常わざ表[[#This Row],[タイプ]]=$W$2),通常わざ表[[#This Row],[威力_m]]*タイプ一致係数,通常わざ表[[#This Row],[威力_m]])</f>
        <v>11</v>
      </c>
      <c r="R48" s="88">
        <f>IF(OR(通常わざ表[[#This Row],[タイプ]]=$V$2,通常わざ表[[#This Row],[タイプ]]=$W$2),通常わざ表[[#This Row],[DPT]]*タイプ一致係数,通常わざ表[[#This Row],[DPT]])</f>
        <v>5.5</v>
      </c>
    </row>
    <row r="49" spans="1:18" ht="16.5" x14ac:dyDescent="0.45">
      <c r="A49" s="106" t="s">
        <v>1230</v>
      </c>
      <c r="B49" s="106" t="s">
        <v>111</v>
      </c>
      <c r="C49" s="460">
        <v>0</v>
      </c>
      <c r="D49" s="90">
        <v>2</v>
      </c>
      <c r="E49" s="91">
        <v>1.73</v>
      </c>
      <c r="F49" s="89">
        <v>0</v>
      </c>
      <c r="G49" s="89">
        <v>1.157</v>
      </c>
      <c r="H49" s="91">
        <v>0</v>
      </c>
      <c r="I49" s="460">
        <v>0</v>
      </c>
      <c r="J49" s="90">
        <v>12</v>
      </c>
      <c r="K49" s="90">
        <v>4</v>
      </c>
      <c r="L49" s="89">
        <v>0</v>
      </c>
      <c r="M49" s="89">
        <v>3</v>
      </c>
      <c r="N49" s="465" t="str">
        <f>IF(OR(通常わざ表[[#This Row],[タイプ]]=$V$2,通常わざ表[[#This Row],[タイプ]]=$W$2),"↑","")</f>
        <v/>
      </c>
      <c r="O49" s="87">
        <f>IF(OR(通常わざ表[[#This Row],[タイプ]]=$V$2,通常わざ表[[#This Row],[タイプ]]=$W$2),通常わざ表[[#This Row],[威力_g]]*タイプ一致係数,通常わざ表[[#This Row],[威力_g]])</f>
        <v>0</v>
      </c>
      <c r="P49" s="89">
        <f>IF(OR(通常わざ表[[#This Row],[タイプ]]=$V$2,通常わざ表[[#This Row],[タイプ]]=$W$2),通常わざ表[[#This Row],[DPS]]*タイプ一致係数,通常わざ表[[#This Row],[DPS]])</f>
        <v>0</v>
      </c>
      <c r="Q49" s="87">
        <f>IF(OR(通常わざ表[[#This Row],[タイプ]]=$V$2,通常わざ表[[#This Row],[タイプ]]=$W$2),通常わざ表[[#This Row],[威力_m]]*タイプ一致係数,通常わざ表[[#This Row],[威力_m]])</f>
        <v>0</v>
      </c>
      <c r="R49" s="88">
        <f>IF(OR(通常わざ表[[#This Row],[タイプ]]=$V$2,通常わざ表[[#This Row],[タイプ]]=$W$2),通常わざ表[[#This Row],[DPT]]*タイプ一致係数,通常わざ表[[#This Row],[DPT]])</f>
        <v>0</v>
      </c>
    </row>
    <row r="50" spans="1:18" ht="16.5" x14ac:dyDescent="0.45">
      <c r="A50" s="97" t="s">
        <v>51</v>
      </c>
      <c r="B50" s="97" t="s">
        <v>4</v>
      </c>
      <c r="C50" s="460">
        <v>9</v>
      </c>
      <c r="D50" s="90">
        <v>10</v>
      </c>
      <c r="E50" s="91">
        <v>0.9</v>
      </c>
      <c r="F50" s="89">
        <v>10</v>
      </c>
      <c r="G50" s="89">
        <v>11.111000000000001</v>
      </c>
      <c r="H50" s="91">
        <v>0.3</v>
      </c>
      <c r="I50" s="460">
        <v>6</v>
      </c>
      <c r="J50" s="90">
        <v>7</v>
      </c>
      <c r="K50" s="90">
        <v>2</v>
      </c>
      <c r="L50" s="89">
        <v>3</v>
      </c>
      <c r="M50" s="89">
        <v>3.5</v>
      </c>
      <c r="N50" s="465" t="str">
        <f>IF(OR(通常わざ表[[#This Row],[タイプ]]=$V$2,通常わざ表[[#This Row],[タイプ]]=$W$2),"↑","")</f>
        <v/>
      </c>
      <c r="O50" s="87">
        <f>IF(OR(通常わざ表[[#This Row],[タイプ]]=$V$2,通常わざ表[[#This Row],[タイプ]]=$W$2),通常わざ表[[#This Row],[威力_g]]*タイプ一致係数,通常わざ表[[#This Row],[威力_g]])</f>
        <v>9</v>
      </c>
      <c r="P50" s="89">
        <f>IF(OR(通常わざ表[[#This Row],[タイプ]]=$V$2,通常わざ表[[#This Row],[タイプ]]=$W$2),通常わざ表[[#This Row],[DPS]]*タイプ一致係数,通常わざ表[[#This Row],[DPS]])</f>
        <v>10</v>
      </c>
      <c r="Q50" s="87">
        <f>IF(OR(通常わざ表[[#This Row],[タイプ]]=$V$2,通常わざ表[[#This Row],[タイプ]]=$W$2),通常わざ表[[#This Row],[威力_m]]*タイプ一致係数,通常わざ表[[#This Row],[威力_m]])</f>
        <v>6</v>
      </c>
      <c r="R50" s="88">
        <f>IF(OR(通常わざ表[[#This Row],[タイプ]]=$V$2,通常わざ表[[#This Row],[タイプ]]=$W$2),通常わざ表[[#This Row],[DPT]]*タイプ一致係数,通常わざ表[[#This Row],[DPT]])</f>
        <v>3</v>
      </c>
    </row>
    <row r="51" spans="1:18" ht="16.5" x14ac:dyDescent="0.45">
      <c r="A51" s="93" t="s">
        <v>1489</v>
      </c>
      <c r="B51" s="93" t="s">
        <v>68</v>
      </c>
      <c r="C51" s="460">
        <v>6</v>
      </c>
      <c r="D51" s="90">
        <v>4</v>
      </c>
      <c r="E51" s="91">
        <v>0.5</v>
      </c>
      <c r="F51" s="89">
        <v>12</v>
      </c>
      <c r="G51" s="89">
        <v>8</v>
      </c>
      <c r="H51" s="91">
        <v>0.3</v>
      </c>
      <c r="I51" s="460">
        <v>4</v>
      </c>
      <c r="J51" s="90">
        <v>2</v>
      </c>
      <c r="K51" s="90">
        <v>1</v>
      </c>
      <c r="L51" s="89">
        <v>4</v>
      </c>
      <c r="M51" s="89">
        <v>2</v>
      </c>
      <c r="N51" s="465" t="str">
        <f>IF(OR(通常わざ表[[#This Row],[タイプ]]=$V$2,通常わざ表[[#This Row],[タイプ]]=$W$2),"↑","")</f>
        <v/>
      </c>
      <c r="O51" s="87">
        <f>IF(OR(通常わざ表[[#This Row],[タイプ]]=$V$2,通常わざ表[[#This Row],[タイプ]]=$W$2),通常わざ表[[#This Row],[威力_g]]*タイプ一致係数,通常わざ表[[#This Row],[威力_g]])</f>
        <v>6</v>
      </c>
      <c r="P51" s="89">
        <f>IF(OR(通常わざ表[[#This Row],[タイプ]]=$V$2,通常わざ表[[#This Row],[タイプ]]=$W$2),通常わざ表[[#This Row],[DPS]]*タイプ一致係数,通常わざ表[[#This Row],[DPS]])</f>
        <v>12</v>
      </c>
      <c r="Q51" s="87">
        <f>IF(OR(通常わざ表[[#This Row],[タイプ]]=$V$2,通常わざ表[[#This Row],[タイプ]]=$W$2),通常わざ表[[#This Row],[威力_m]]*タイプ一致係数,通常わざ表[[#This Row],[威力_m]])</f>
        <v>4</v>
      </c>
      <c r="R51" s="88">
        <f>IF(OR(通常わざ表[[#This Row],[タイプ]]=$V$2,通常わざ表[[#This Row],[タイプ]]=$W$2),通常わざ表[[#This Row],[DPT]]*タイプ一致係数,通常わざ表[[#This Row],[DPT]])</f>
        <v>4</v>
      </c>
    </row>
    <row r="52" spans="1:18" ht="16.5" x14ac:dyDescent="0.45">
      <c r="A52" s="108" t="s">
        <v>138</v>
      </c>
      <c r="B52" s="108" t="s">
        <v>22</v>
      </c>
      <c r="C52" s="460">
        <v>10</v>
      </c>
      <c r="D52" s="90">
        <v>10</v>
      </c>
      <c r="E52" s="91">
        <v>1</v>
      </c>
      <c r="F52" s="89">
        <v>10</v>
      </c>
      <c r="G52" s="89">
        <v>10</v>
      </c>
      <c r="H52" s="91">
        <v>0.6</v>
      </c>
      <c r="I52" s="460">
        <v>6</v>
      </c>
      <c r="J52" s="90">
        <v>6</v>
      </c>
      <c r="K52" s="90">
        <v>2</v>
      </c>
      <c r="L52" s="89">
        <v>3</v>
      </c>
      <c r="M52" s="89">
        <v>3</v>
      </c>
      <c r="N52" s="465" t="str">
        <f>IF(OR(通常わざ表[[#This Row],[タイプ]]=$V$2,通常わざ表[[#This Row],[タイプ]]=$W$2),"↑","")</f>
        <v/>
      </c>
      <c r="O52" s="87">
        <f>IF(OR(通常わざ表[[#This Row],[タイプ]]=$V$2,通常わざ表[[#This Row],[タイプ]]=$W$2),通常わざ表[[#This Row],[威力_g]]*タイプ一致係数,通常わざ表[[#This Row],[威力_g]])</f>
        <v>10</v>
      </c>
      <c r="P52" s="89">
        <f>IF(OR(通常わざ表[[#This Row],[タイプ]]=$V$2,通常わざ表[[#This Row],[タイプ]]=$W$2),通常わざ表[[#This Row],[DPS]]*タイプ一致係数,通常わざ表[[#This Row],[DPS]])</f>
        <v>10</v>
      </c>
      <c r="Q52" s="87">
        <f>IF(OR(通常わざ表[[#This Row],[タイプ]]=$V$2,通常わざ表[[#This Row],[タイプ]]=$W$2),通常わざ表[[#This Row],[威力_m]]*タイプ一致係数,通常わざ表[[#This Row],[威力_m]])</f>
        <v>6</v>
      </c>
      <c r="R52" s="88">
        <f>IF(OR(通常わざ表[[#This Row],[タイプ]]=$V$2,通常わざ表[[#This Row],[タイプ]]=$W$2),通常わざ表[[#This Row],[DPT]]*タイプ一致係数,通常わざ表[[#This Row],[DPT]])</f>
        <v>3</v>
      </c>
    </row>
    <row r="53" spans="1:18" ht="16.5" x14ac:dyDescent="0.45">
      <c r="A53" s="109" t="s">
        <v>266</v>
      </c>
      <c r="B53" s="109" t="s">
        <v>78</v>
      </c>
      <c r="C53" s="460">
        <v>7</v>
      </c>
      <c r="D53" s="90">
        <v>8</v>
      </c>
      <c r="E53" s="91">
        <v>0.7</v>
      </c>
      <c r="F53" s="89">
        <v>10</v>
      </c>
      <c r="G53" s="89">
        <v>11.429</v>
      </c>
      <c r="H53" s="91">
        <v>0.3</v>
      </c>
      <c r="I53" s="460">
        <v>5</v>
      </c>
      <c r="J53" s="90">
        <v>7</v>
      </c>
      <c r="K53" s="90">
        <v>2</v>
      </c>
      <c r="L53" s="89">
        <v>2.5</v>
      </c>
      <c r="M53" s="89">
        <v>3.5</v>
      </c>
      <c r="N53" s="465" t="str">
        <f>IF(OR(通常わざ表[[#This Row],[タイプ]]=$V$2,通常わざ表[[#This Row],[タイプ]]=$W$2),"↑","")</f>
        <v/>
      </c>
      <c r="O53" s="87">
        <f>IF(OR(通常わざ表[[#This Row],[タイプ]]=$V$2,通常わざ表[[#This Row],[タイプ]]=$W$2),通常わざ表[[#This Row],[威力_g]]*タイプ一致係数,通常わざ表[[#This Row],[威力_g]])</f>
        <v>7</v>
      </c>
      <c r="P53" s="89">
        <f>IF(OR(通常わざ表[[#This Row],[タイプ]]=$V$2,通常わざ表[[#This Row],[タイプ]]=$W$2),通常わざ表[[#This Row],[DPS]]*タイプ一致係数,通常わざ表[[#This Row],[DPS]])</f>
        <v>10</v>
      </c>
      <c r="Q53" s="87">
        <f>IF(OR(通常わざ表[[#This Row],[タイプ]]=$V$2,通常わざ表[[#This Row],[タイプ]]=$W$2),通常わざ表[[#This Row],[威力_m]]*タイプ一致係数,通常わざ表[[#This Row],[威力_m]])</f>
        <v>5</v>
      </c>
      <c r="R53" s="88">
        <f>IF(OR(通常わざ表[[#This Row],[タイプ]]=$V$2,通常わざ表[[#This Row],[タイプ]]=$W$2),通常わざ表[[#This Row],[DPT]]*タイプ一致係数,通常わざ表[[#This Row],[DPT]])</f>
        <v>2.5</v>
      </c>
    </row>
    <row r="54" spans="1:18" ht="16.5" x14ac:dyDescent="0.45">
      <c r="A54" s="93" t="s">
        <v>1057</v>
      </c>
      <c r="B54" s="93" t="s">
        <v>68</v>
      </c>
      <c r="C54" s="460">
        <v>5</v>
      </c>
      <c r="D54" s="90">
        <v>20</v>
      </c>
      <c r="E54" s="91">
        <v>1.3</v>
      </c>
      <c r="F54" s="89">
        <v>3.8461538461538001</v>
      </c>
      <c r="G54" s="89">
        <v>15.385</v>
      </c>
      <c r="H54" s="91">
        <v>1.1000000000000001</v>
      </c>
      <c r="I54" s="460">
        <v>3</v>
      </c>
      <c r="J54" s="90">
        <v>12</v>
      </c>
      <c r="K54" s="90">
        <v>3</v>
      </c>
      <c r="L54" s="89">
        <v>1</v>
      </c>
      <c r="M54" s="89">
        <v>4</v>
      </c>
      <c r="N54" s="465" t="str">
        <f>IF(OR(通常わざ表[[#This Row],[タイプ]]=$V$2,通常わざ表[[#This Row],[タイプ]]=$W$2),"↑","")</f>
        <v/>
      </c>
      <c r="O54" s="87">
        <f>IF(OR(通常わざ表[[#This Row],[タイプ]]=$V$2,通常わざ表[[#This Row],[タイプ]]=$W$2),通常わざ表[[#This Row],[威力_g]]*タイプ一致係数,通常わざ表[[#This Row],[威力_g]])</f>
        <v>5</v>
      </c>
      <c r="P54" s="89">
        <f>IF(OR(通常わざ表[[#This Row],[タイプ]]=$V$2,通常わざ表[[#This Row],[タイプ]]=$W$2),通常わざ表[[#This Row],[DPS]]*タイプ一致係数,通常わざ表[[#This Row],[DPS]])</f>
        <v>3.8461538461538001</v>
      </c>
      <c r="Q54" s="87">
        <f>IF(OR(通常わざ表[[#This Row],[タイプ]]=$V$2,通常わざ表[[#This Row],[タイプ]]=$W$2),通常わざ表[[#This Row],[威力_m]]*タイプ一致係数,通常わざ表[[#This Row],[威力_m]])</f>
        <v>3</v>
      </c>
      <c r="R54" s="88">
        <f>IF(OR(通常わざ表[[#This Row],[タイプ]]=$V$2,通常わざ表[[#This Row],[タイプ]]=$W$2),通常わざ表[[#This Row],[DPT]]*タイプ一致係数,通常わざ表[[#This Row],[DPT]])</f>
        <v>1</v>
      </c>
    </row>
    <row r="55" spans="1:18" ht="16.5" x14ac:dyDescent="0.45">
      <c r="A55" s="93" t="s">
        <v>1227</v>
      </c>
      <c r="B55" s="93" t="s">
        <v>68</v>
      </c>
      <c r="C55" s="460">
        <v>0</v>
      </c>
      <c r="D55" s="90">
        <v>0</v>
      </c>
      <c r="E55" s="91">
        <v>2.23</v>
      </c>
      <c r="F55" s="89">
        <v>0</v>
      </c>
      <c r="G55" s="89">
        <v>0</v>
      </c>
      <c r="H55" s="91">
        <v>0</v>
      </c>
      <c r="I55" s="460">
        <v>0</v>
      </c>
      <c r="J55" s="90">
        <v>0</v>
      </c>
      <c r="K55" s="90">
        <v>3</v>
      </c>
      <c r="L55" s="89">
        <v>0</v>
      </c>
      <c r="M55" s="89">
        <v>0</v>
      </c>
      <c r="N55" s="465" t="str">
        <f>IF(OR(通常わざ表[[#This Row],[タイプ]]=$V$2,通常わざ表[[#This Row],[タイプ]]=$W$2),"↑","")</f>
        <v/>
      </c>
      <c r="O55" s="87">
        <f>IF(OR(通常わざ表[[#This Row],[タイプ]]=$V$2,通常わざ表[[#This Row],[タイプ]]=$W$2),通常わざ表[[#This Row],[威力_g]]*タイプ一致係数,通常わざ表[[#This Row],[威力_g]])</f>
        <v>0</v>
      </c>
      <c r="P55" s="89">
        <f>IF(OR(通常わざ表[[#This Row],[タイプ]]=$V$2,通常わざ表[[#This Row],[タイプ]]=$W$2),通常わざ表[[#This Row],[DPS]]*タイプ一致係数,通常わざ表[[#This Row],[DPS]])</f>
        <v>0</v>
      </c>
      <c r="Q55" s="87">
        <f>IF(OR(通常わざ表[[#This Row],[タイプ]]=$V$2,通常わざ表[[#This Row],[タイプ]]=$W$2),通常わざ表[[#This Row],[威力_m]]*タイプ一致係数,通常わざ表[[#This Row],[威力_m]])</f>
        <v>0</v>
      </c>
      <c r="R55" s="88">
        <f>IF(OR(通常わざ表[[#This Row],[タイプ]]=$V$2,通常わざ表[[#This Row],[タイプ]]=$W$2),通常わざ表[[#This Row],[DPT]]*タイプ一致係数,通常わざ表[[#This Row],[DPT]])</f>
        <v>0</v>
      </c>
    </row>
    <row r="56" spans="1:18" ht="16.5" x14ac:dyDescent="0.45">
      <c r="A56" s="108" t="s">
        <v>36</v>
      </c>
      <c r="B56" s="108" t="s">
        <v>22</v>
      </c>
      <c r="C56" s="460">
        <v>14</v>
      </c>
      <c r="D56" s="90">
        <v>10</v>
      </c>
      <c r="E56" s="91">
        <v>1.1000000000000001</v>
      </c>
      <c r="F56" s="89">
        <v>12.727272727273</v>
      </c>
      <c r="G56" s="89">
        <v>9.0909999999999993</v>
      </c>
      <c r="H56" s="91">
        <v>0.85</v>
      </c>
      <c r="I56" s="460">
        <v>9</v>
      </c>
      <c r="J56" s="90">
        <v>10</v>
      </c>
      <c r="K56" s="90">
        <v>3</v>
      </c>
      <c r="L56" s="89">
        <v>3</v>
      </c>
      <c r="M56" s="89">
        <v>3.3333333333333002</v>
      </c>
      <c r="N56" s="465" t="str">
        <f>IF(OR(通常わざ表[[#This Row],[タイプ]]=$V$2,通常わざ表[[#This Row],[タイプ]]=$W$2),"↑","")</f>
        <v/>
      </c>
      <c r="O56" s="87">
        <f>IF(OR(通常わざ表[[#This Row],[タイプ]]=$V$2,通常わざ表[[#This Row],[タイプ]]=$W$2),通常わざ表[[#This Row],[威力_g]]*タイプ一致係数,通常わざ表[[#This Row],[威力_g]])</f>
        <v>14</v>
      </c>
      <c r="P56" s="89">
        <f>IF(OR(通常わざ表[[#This Row],[タイプ]]=$V$2,通常わざ表[[#This Row],[タイプ]]=$W$2),通常わざ表[[#This Row],[DPS]]*タイプ一致係数,通常わざ表[[#This Row],[DPS]])</f>
        <v>12.727272727273</v>
      </c>
      <c r="Q56" s="87">
        <f>IF(OR(通常わざ表[[#This Row],[タイプ]]=$V$2,通常わざ表[[#This Row],[タイプ]]=$W$2),通常わざ表[[#This Row],[威力_m]]*タイプ一致係数,通常わざ表[[#This Row],[威力_m]])</f>
        <v>9</v>
      </c>
      <c r="R56" s="88">
        <f>IF(OR(通常わざ表[[#This Row],[タイプ]]=$V$2,通常わざ表[[#This Row],[タイプ]]=$W$2),通常わざ表[[#This Row],[DPT]]*タイプ一致係数,通常わざ表[[#This Row],[DPT]])</f>
        <v>3</v>
      </c>
    </row>
    <row r="57" spans="1:18" ht="16.5" x14ac:dyDescent="0.45">
      <c r="A57" s="108" t="s">
        <v>1512</v>
      </c>
      <c r="B57" s="108" t="s">
        <v>22</v>
      </c>
      <c r="C57" s="460">
        <v>12</v>
      </c>
      <c r="D57" s="90">
        <v>8</v>
      </c>
      <c r="E57" s="91">
        <v>0.9</v>
      </c>
      <c r="F57" s="89">
        <v>13.333333333333</v>
      </c>
      <c r="G57" s="89">
        <v>8.8889999999999993</v>
      </c>
      <c r="H57" s="91">
        <v>0.64</v>
      </c>
      <c r="I57" s="460">
        <v>8</v>
      </c>
      <c r="J57" s="90">
        <v>5</v>
      </c>
      <c r="K57" s="90">
        <v>2</v>
      </c>
      <c r="L57" s="89">
        <v>4</v>
      </c>
      <c r="M57" s="89">
        <v>2.5</v>
      </c>
      <c r="N57" s="465" t="str">
        <f>IF(OR(通常わざ表[[#This Row],[タイプ]]=$V$2,通常わざ表[[#This Row],[タイプ]]=$W$2),"↑","")</f>
        <v/>
      </c>
      <c r="O57" s="87">
        <f>IF(OR(通常わざ表[[#This Row],[タイプ]]=$V$2,通常わざ表[[#This Row],[タイプ]]=$W$2),通常わざ表[[#This Row],[威力_g]]*タイプ一致係数,通常わざ表[[#This Row],[威力_g]])</f>
        <v>12</v>
      </c>
      <c r="P57" s="89">
        <f>IF(OR(通常わざ表[[#This Row],[タイプ]]=$V$2,通常わざ表[[#This Row],[タイプ]]=$W$2),通常わざ表[[#This Row],[DPS]]*タイプ一致係数,通常わざ表[[#This Row],[DPS]])</f>
        <v>13.333333333333</v>
      </c>
      <c r="Q57" s="87">
        <f>IF(OR(通常わざ表[[#This Row],[タイプ]]=$V$2,通常わざ表[[#This Row],[タイプ]]=$W$2),通常わざ表[[#This Row],[威力_m]]*タイプ一致係数,通常わざ表[[#This Row],[威力_m]])</f>
        <v>8</v>
      </c>
      <c r="R57" s="88">
        <f>IF(OR(通常わざ表[[#This Row],[タイプ]]=$V$2,通常わざ表[[#This Row],[タイプ]]=$W$2),通常わざ表[[#This Row],[DPT]]*タイプ一致係数,通常わざ表[[#This Row],[DPT]])</f>
        <v>4</v>
      </c>
    </row>
    <row r="58" spans="1:18" ht="16.5" x14ac:dyDescent="0.45">
      <c r="A58" s="102" t="s">
        <v>1484</v>
      </c>
      <c r="B58" s="102" t="s">
        <v>8</v>
      </c>
      <c r="C58" s="460">
        <v>14</v>
      </c>
      <c r="D58" s="90">
        <v>21</v>
      </c>
      <c r="E58" s="91">
        <v>1.6</v>
      </c>
      <c r="F58" s="89">
        <v>8.75</v>
      </c>
      <c r="G58" s="89">
        <v>13.125</v>
      </c>
      <c r="H58" s="91">
        <v>0.7</v>
      </c>
      <c r="I58" s="460">
        <v>12</v>
      </c>
      <c r="J58" s="90">
        <v>16</v>
      </c>
      <c r="K58" s="90">
        <v>4</v>
      </c>
      <c r="L58" s="89">
        <v>3</v>
      </c>
      <c r="M58" s="89">
        <v>4</v>
      </c>
      <c r="N58" s="465" t="str">
        <f>IF(OR(通常わざ表[[#This Row],[タイプ]]=$V$2,通常わざ表[[#This Row],[タイプ]]=$W$2),"↑","")</f>
        <v/>
      </c>
      <c r="O58" s="87">
        <f>IF(OR(通常わざ表[[#This Row],[タイプ]]=$V$2,通常わざ表[[#This Row],[タイプ]]=$W$2),通常わざ表[[#This Row],[威力_g]]*タイプ一致係数,通常わざ表[[#This Row],[威力_g]])</f>
        <v>14</v>
      </c>
      <c r="P58" s="89">
        <f>IF(OR(通常わざ表[[#This Row],[タイプ]]=$V$2,通常わざ表[[#This Row],[タイプ]]=$W$2),通常わざ表[[#This Row],[DPS]]*タイプ一致係数,通常わざ表[[#This Row],[DPS]])</f>
        <v>8.75</v>
      </c>
      <c r="Q58" s="87">
        <f>IF(OR(通常わざ表[[#This Row],[タイプ]]=$V$2,通常わざ表[[#This Row],[タイプ]]=$W$2),通常わざ表[[#This Row],[威力_m]]*タイプ一致係数,通常わざ表[[#This Row],[威力_m]])</f>
        <v>12</v>
      </c>
      <c r="R58" s="88">
        <f>IF(OR(通常わざ表[[#This Row],[タイプ]]=$V$2,通常わざ表[[#This Row],[タイプ]]=$W$2),通常わざ表[[#This Row],[DPT]]*タイプ一致係数,通常わざ表[[#This Row],[DPT]])</f>
        <v>3</v>
      </c>
    </row>
    <row r="59" spans="1:18" ht="16.5" x14ac:dyDescent="0.45">
      <c r="A59" s="104" t="s">
        <v>144</v>
      </c>
      <c r="B59" s="104" t="s">
        <v>3</v>
      </c>
      <c r="C59" s="460">
        <v>5</v>
      </c>
      <c r="D59" s="90">
        <v>7</v>
      </c>
      <c r="E59" s="91">
        <v>0.6</v>
      </c>
      <c r="F59" s="89">
        <v>8.3333333333333002</v>
      </c>
      <c r="G59" s="89">
        <v>11.667</v>
      </c>
      <c r="H59" s="91">
        <v>0.35</v>
      </c>
      <c r="I59" s="460">
        <v>3</v>
      </c>
      <c r="J59" s="90">
        <v>9</v>
      </c>
      <c r="K59" s="90">
        <v>2</v>
      </c>
      <c r="L59" s="89">
        <v>1.5</v>
      </c>
      <c r="M59" s="89">
        <v>4.5</v>
      </c>
      <c r="N59" s="465" t="str">
        <f>IF(OR(通常わざ表[[#This Row],[タイプ]]=$V$2,通常わざ表[[#This Row],[タイプ]]=$W$2),"↑","")</f>
        <v/>
      </c>
      <c r="O59" s="87">
        <f>IF(OR(通常わざ表[[#This Row],[タイプ]]=$V$2,通常わざ表[[#This Row],[タイプ]]=$W$2),通常わざ表[[#This Row],[威力_g]]*タイプ一致係数,通常わざ表[[#This Row],[威力_g]])</f>
        <v>5</v>
      </c>
      <c r="P59" s="89">
        <f>IF(OR(通常わざ表[[#This Row],[タイプ]]=$V$2,通常わざ表[[#This Row],[タイプ]]=$W$2),通常わざ表[[#This Row],[DPS]]*タイプ一致係数,通常わざ表[[#This Row],[DPS]])</f>
        <v>8.3333333333333002</v>
      </c>
      <c r="Q59" s="87">
        <f>IF(OR(通常わざ表[[#This Row],[タイプ]]=$V$2,通常わざ表[[#This Row],[タイプ]]=$W$2),通常わざ表[[#This Row],[威力_m]]*タイプ一致係数,通常わざ表[[#This Row],[威力_m]])</f>
        <v>3</v>
      </c>
      <c r="R59" s="88">
        <f>IF(OR(通常わざ表[[#This Row],[タイプ]]=$V$2,通常わざ表[[#This Row],[タイプ]]=$W$2),通常わざ表[[#This Row],[DPT]]*タイプ一致係数,通常わざ表[[#This Row],[DPT]])</f>
        <v>1.5</v>
      </c>
    </row>
    <row r="60" spans="1:18" ht="16.5" x14ac:dyDescent="0.45">
      <c r="A60" s="94" t="s">
        <v>10</v>
      </c>
      <c r="B60" s="94" t="s">
        <v>29</v>
      </c>
      <c r="C60" s="460">
        <v>10</v>
      </c>
      <c r="D60" s="90">
        <v>14</v>
      </c>
      <c r="E60" s="91">
        <v>1.1000000000000001</v>
      </c>
      <c r="F60" s="89">
        <v>9.0909090909091006</v>
      </c>
      <c r="G60" s="89">
        <v>12.727</v>
      </c>
      <c r="H60" s="91">
        <v>0.85</v>
      </c>
      <c r="I60" s="460">
        <v>6</v>
      </c>
      <c r="J60" s="90">
        <v>11</v>
      </c>
      <c r="K60" s="90">
        <v>3</v>
      </c>
      <c r="L60" s="89">
        <v>2</v>
      </c>
      <c r="M60" s="89">
        <v>3.6666666666666998</v>
      </c>
      <c r="N60" s="465" t="str">
        <f>IF(OR(通常わざ表[[#This Row],[タイプ]]=$V$2,通常わざ表[[#This Row],[タイプ]]=$W$2),"↑","")</f>
        <v/>
      </c>
      <c r="O60" s="87">
        <f>IF(OR(通常わざ表[[#This Row],[タイプ]]=$V$2,通常わざ表[[#This Row],[タイプ]]=$W$2),通常わざ表[[#This Row],[威力_g]]*タイプ一致係数,通常わざ表[[#This Row],[威力_g]])</f>
        <v>10</v>
      </c>
      <c r="P60" s="89">
        <f>IF(OR(通常わざ表[[#This Row],[タイプ]]=$V$2,通常わざ表[[#This Row],[タイプ]]=$W$2),通常わざ表[[#This Row],[DPS]]*タイプ一致係数,通常わざ表[[#This Row],[DPS]])</f>
        <v>9.0909090909091006</v>
      </c>
      <c r="Q60" s="87">
        <f>IF(OR(通常わざ表[[#This Row],[タイプ]]=$V$2,通常わざ表[[#This Row],[タイプ]]=$W$2),通常わざ表[[#This Row],[威力_m]]*タイプ一致係数,通常わざ表[[#This Row],[威力_m]])</f>
        <v>6</v>
      </c>
      <c r="R60" s="88">
        <f>IF(OR(通常わざ表[[#This Row],[タイプ]]=$V$2,通常わざ表[[#This Row],[タイプ]]=$W$2),通常わざ表[[#This Row],[DPT]]*タイプ一致係数,通常わざ表[[#This Row],[DPT]])</f>
        <v>2</v>
      </c>
    </row>
    <row r="61" spans="1:18" ht="16.5" x14ac:dyDescent="0.45">
      <c r="A61" s="106" t="s">
        <v>121</v>
      </c>
      <c r="B61" s="106" t="s">
        <v>111</v>
      </c>
      <c r="C61" s="460">
        <v>5</v>
      </c>
      <c r="D61" s="90">
        <v>5</v>
      </c>
      <c r="E61" s="91">
        <v>0.5</v>
      </c>
      <c r="F61" s="89">
        <v>10</v>
      </c>
      <c r="G61" s="89">
        <v>10</v>
      </c>
      <c r="H61" s="91">
        <v>0.3</v>
      </c>
      <c r="I61" s="460">
        <v>3</v>
      </c>
      <c r="J61" s="90">
        <v>3</v>
      </c>
      <c r="K61" s="90">
        <v>1</v>
      </c>
      <c r="L61" s="89">
        <v>3</v>
      </c>
      <c r="M61" s="89">
        <v>3</v>
      </c>
      <c r="N61" s="465" t="str">
        <f>IF(OR(通常わざ表[[#This Row],[タイプ]]=$V$2,通常わざ表[[#This Row],[タイプ]]=$W$2),"↑","")</f>
        <v/>
      </c>
      <c r="O61" s="87">
        <f>IF(OR(通常わざ表[[#This Row],[タイプ]]=$V$2,通常わざ表[[#This Row],[タイプ]]=$W$2),通常わざ表[[#This Row],[威力_g]]*タイプ一致係数,通常わざ表[[#This Row],[威力_g]])</f>
        <v>5</v>
      </c>
      <c r="P61" s="89">
        <f>IF(OR(通常わざ表[[#This Row],[タイプ]]=$V$2,通常わざ表[[#This Row],[タイプ]]=$W$2),通常わざ表[[#This Row],[DPS]]*タイプ一致係数,通常わざ表[[#This Row],[DPS]])</f>
        <v>10</v>
      </c>
      <c r="Q61" s="87">
        <f>IF(OR(通常わざ表[[#This Row],[タイプ]]=$V$2,通常わざ表[[#This Row],[タイプ]]=$W$2),通常わざ表[[#This Row],[威力_m]]*タイプ一致係数,通常わざ表[[#This Row],[威力_m]])</f>
        <v>3</v>
      </c>
      <c r="R61" s="88">
        <f>IF(OR(通常わざ表[[#This Row],[タイプ]]=$V$2,通常わざ表[[#This Row],[タイプ]]=$W$2),通常わざ表[[#This Row],[DPT]]*タイプ一致係数,通常わざ表[[#This Row],[DPT]])</f>
        <v>3</v>
      </c>
    </row>
    <row r="62" spans="1:18" ht="16.5" x14ac:dyDescent="0.45">
      <c r="A62" s="94" t="s">
        <v>38</v>
      </c>
      <c r="B62" s="94" t="s">
        <v>29</v>
      </c>
      <c r="C62" s="460">
        <v>5</v>
      </c>
      <c r="D62" s="90">
        <v>6</v>
      </c>
      <c r="E62" s="91">
        <v>0.5</v>
      </c>
      <c r="F62" s="89">
        <v>10</v>
      </c>
      <c r="G62" s="89">
        <v>12</v>
      </c>
      <c r="H62" s="91">
        <v>0.25</v>
      </c>
      <c r="I62" s="460">
        <v>3</v>
      </c>
      <c r="J62" s="90">
        <v>3</v>
      </c>
      <c r="K62" s="90">
        <v>1</v>
      </c>
      <c r="L62" s="89">
        <v>3</v>
      </c>
      <c r="M62" s="89">
        <v>3</v>
      </c>
      <c r="N62" s="465" t="str">
        <f>IF(OR(通常わざ表[[#This Row],[タイプ]]=$V$2,通常わざ表[[#This Row],[タイプ]]=$W$2),"↑","")</f>
        <v/>
      </c>
      <c r="O62" s="87">
        <f>IF(OR(通常わざ表[[#This Row],[タイプ]]=$V$2,通常わざ表[[#This Row],[タイプ]]=$W$2),通常わざ表[[#This Row],[威力_g]]*タイプ一致係数,通常わざ表[[#This Row],[威力_g]])</f>
        <v>5</v>
      </c>
      <c r="P62" s="89">
        <f>IF(OR(通常わざ表[[#This Row],[タイプ]]=$V$2,通常わざ表[[#This Row],[タイプ]]=$W$2),通常わざ表[[#This Row],[DPS]]*タイプ一致係数,通常わざ表[[#This Row],[DPS]])</f>
        <v>10</v>
      </c>
      <c r="Q62" s="87">
        <f>IF(OR(通常わざ表[[#This Row],[タイプ]]=$V$2,通常わざ表[[#This Row],[タイプ]]=$W$2),通常わざ表[[#This Row],[威力_m]]*タイプ一致係数,通常わざ表[[#This Row],[威力_m]])</f>
        <v>3</v>
      </c>
      <c r="R62" s="88">
        <f>IF(OR(通常わざ表[[#This Row],[タイプ]]=$V$2,通常わざ表[[#This Row],[タイプ]]=$W$2),通常わざ表[[#This Row],[DPT]]*タイプ一致係数,通常わざ表[[#This Row],[DPT]])</f>
        <v>3</v>
      </c>
    </row>
    <row r="63" spans="1:18" ht="16.5" x14ac:dyDescent="0.45">
      <c r="A63" s="94" t="s">
        <v>1523</v>
      </c>
      <c r="B63" s="94" t="s">
        <v>29</v>
      </c>
      <c r="C63" s="460">
        <v>15</v>
      </c>
      <c r="D63" s="90">
        <v>15</v>
      </c>
      <c r="E63" s="91">
        <v>1.5</v>
      </c>
      <c r="F63" s="89">
        <v>10</v>
      </c>
      <c r="G63" s="89">
        <v>10</v>
      </c>
      <c r="H63" s="91">
        <v>1.2</v>
      </c>
      <c r="I63" s="460">
        <v>9</v>
      </c>
      <c r="J63" s="90">
        <v>8</v>
      </c>
      <c r="K63" s="90">
        <v>3</v>
      </c>
      <c r="L63" s="89">
        <v>3</v>
      </c>
      <c r="M63" s="89">
        <v>2.6666666666666998</v>
      </c>
      <c r="N63" s="465" t="str">
        <f>IF(OR(通常わざ表[[#This Row],[タイプ]]=$V$2,通常わざ表[[#This Row],[タイプ]]=$W$2),"↑","")</f>
        <v/>
      </c>
      <c r="O63" s="87">
        <f>IF(OR(通常わざ表[[#This Row],[タイプ]]=$V$2,通常わざ表[[#This Row],[タイプ]]=$W$2),通常わざ表[[#This Row],[威力_g]]*タイプ一致係数,通常わざ表[[#This Row],[威力_g]])</f>
        <v>15</v>
      </c>
      <c r="P63" s="89">
        <f>IF(OR(通常わざ表[[#This Row],[タイプ]]=$V$2,通常わざ表[[#This Row],[タイプ]]=$W$2),通常わざ表[[#This Row],[DPS]]*タイプ一致係数,通常わざ表[[#This Row],[DPS]])</f>
        <v>10</v>
      </c>
      <c r="Q63" s="87">
        <f>IF(OR(通常わざ表[[#This Row],[タイプ]]=$V$2,通常わざ表[[#This Row],[タイプ]]=$W$2),通常わざ表[[#This Row],[威力_m]]*タイプ一致係数,通常わざ表[[#This Row],[威力_m]])</f>
        <v>9</v>
      </c>
      <c r="R63" s="88">
        <f>IF(OR(通常わざ表[[#This Row],[タイプ]]=$V$2,通常わざ表[[#This Row],[タイプ]]=$W$2),通常わざ表[[#This Row],[DPT]]*タイプ一致係数,通常わざ表[[#This Row],[DPT]])</f>
        <v>3</v>
      </c>
    </row>
    <row r="64" spans="1:18" ht="16.5" x14ac:dyDescent="0.45">
      <c r="A64" s="109" t="s">
        <v>1502</v>
      </c>
      <c r="B64" s="109" t="s">
        <v>78</v>
      </c>
      <c r="C64" s="460">
        <v>15</v>
      </c>
      <c r="D64" s="90">
        <v>15</v>
      </c>
      <c r="E64" s="91">
        <v>1.5</v>
      </c>
      <c r="F64" s="89">
        <v>10</v>
      </c>
      <c r="G64" s="89">
        <v>10</v>
      </c>
      <c r="H64" s="91">
        <v>1.1000000000000001</v>
      </c>
      <c r="I64" s="460">
        <v>9</v>
      </c>
      <c r="J64" s="90">
        <v>8</v>
      </c>
      <c r="K64" s="90">
        <v>3</v>
      </c>
      <c r="L64" s="89">
        <v>3</v>
      </c>
      <c r="M64" s="89">
        <v>2.6666666666666998</v>
      </c>
      <c r="N64" s="465" t="str">
        <f>IF(OR(通常わざ表[[#This Row],[タイプ]]=$V$2,通常わざ表[[#This Row],[タイプ]]=$W$2),"↑","")</f>
        <v/>
      </c>
      <c r="O64" s="87">
        <f>IF(OR(通常わざ表[[#This Row],[タイプ]]=$V$2,通常わざ表[[#This Row],[タイプ]]=$W$2),通常わざ表[[#This Row],[威力_g]]*タイプ一致係数,通常わざ表[[#This Row],[威力_g]])</f>
        <v>15</v>
      </c>
      <c r="P64" s="89">
        <f>IF(OR(通常わざ表[[#This Row],[タイプ]]=$V$2,通常わざ表[[#This Row],[タイプ]]=$W$2),通常わざ表[[#This Row],[DPS]]*タイプ一致係数,通常わざ表[[#This Row],[DPS]])</f>
        <v>10</v>
      </c>
      <c r="Q64" s="87">
        <f>IF(OR(通常わざ表[[#This Row],[タイプ]]=$V$2,通常わざ表[[#This Row],[タイプ]]=$W$2),通常わざ表[[#This Row],[威力_m]]*タイプ一致係数,通常わざ表[[#This Row],[威力_m]])</f>
        <v>9</v>
      </c>
      <c r="R64" s="88">
        <f>IF(OR(通常わざ表[[#This Row],[タイプ]]=$V$2,通常わざ表[[#This Row],[タイプ]]=$W$2),通常わざ表[[#This Row],[DPT]]*タイプ一致係数,通常わざ表[[#This Row],[DPT]])</f>
        <v>3</v>
      </c>
    </row>
    <row r="65" spans="1:18" ht="16.5" x14ac:dyDescent="0.45">
      <c r="A65" s="108" t="s">
        <v>1501</v>
      </c>
      <c r="B65" s="108" t="s">
        <v>22</v>
      </c>
      <c r="C65" s="460">
        <v>15</v>
      </c>
      <c r="D65" s="90">
        <v>15</v>
      </c>
      <c r="E65" s="91">
        <v>1.5</v>
      </c>
      <c r="F65" s="89">
        <v>10</v>
      </c>
      <c r="G65" s="89">
        <v>10</v>
      </c>
      <c r="H65" s="91">
        <v>1.1000000000000001</v>
      </c>
      <c r="I65" s="460">
        <v>9</v>
      </c>
      <c r="J65" s="90">
        <v>8</v>
      </c>
      <c r="K65" s="90">
        <v>3</v>
      </c>
      <c r="L65" s="89">
        <v>3</v>
      </c>
      <c r="M65" s="89">
        <v>2.6666666666666998</v>
      </c>
      <c r="N65" s="465" t="str">
        <f>IF(OR(通常わざ表[[#This Row],[タイプ]]=$V$2,通常わざ表[[#This Row],[タイプ]]=$W$2),"↑","")</f>
        <v/>
      </c>
      <c r="O65" s="87">
        <f>IF(OR(通常わざ表[[#This Row],[タイプ]]=$V$2,通常わざ表[[#This Row],[タイプ]]=$W$2),通常わざ表[[#This Row],[威力_g]]*タイプ一致係数,通常わざ表[[#This Row],[威力_g]])</f>
        <v>15</v>
      </c>
      <c r="P65" s="89">
        <f>IF(OR(通常わざ表[[#This Row],[タイプ]]=$V$2,通常わざ表[[#This Row],[タイプ]]=$W$2),通常わざ表[[#This Row],[DPS]]*タイプ一致係数,通常わざ表[[#This Row],[DPS]])</f>
        <v>10</v>
      </c>
      <c r="Q65" s="87">
        <f>IF(OR(通常わざ表[[#This Row],[タイプ]]=$V$2,通常わざ表[[#This Row],[タイプ]]=$W$2),通常わざ表[[#This Row],[威力_m]]*タイプ一致係数,通常わざ表[[#This Row],[威力_m]])</f>
        <v>9</v>
      </c>
      <c r="R65" s="88">
        <f>IF(OR(通常わざ表[[#This Row],[タイプ]]=$V$2,通常わざ表[[#This Row],[タイプ]]=$W$2),通常わざ表[[#This Row],[DPT]]*タイプ一致係数,通常わざ表[[#This Row],[DPT]])</f>
        <v>3</v>
      </c>
    </row>
    <row r="66" spans="1:18" ht="16.5" x14ac:dyDescent="0.45">
      <c r="A66" s="107" t="s">
        <v>1500</v>
      </c>
      <c r="B66" s="107" t="s">
        <v>43</v>
      </c>
      <c r="C66" s="460">
        <v>15</v>
      </c>
      <c r="D66" s="90">
        <v>15</v>
      </c>
      <c r="E66" s="91">
        <v>1.5</v>
      </c>
      <c r="F66" s="89">
        <v>10</v>
      </c>
      <c r="G66" s="89">
        <v>10</v>
      </c>
      <c r="H66" s="91">
        <v>1.1000000000000001</v>
      </c>
      <c r="I66" s="460">
        <v>9</v>
      </c>
      <c r="J66" s="90">
        <v>8</v>
      </c>
      <c r="K66" s="90">
        <v>3</v>
      </c>
      <c r="L66" s="89">
        <v>3</v>
      </c>
      <c r="M66" s="89">
        <v>2.6666666666666998</v>
      </c>
      <c r="N66" s="465" t="str">
        <f>IF(OR(通常わざ表[[#This Row],[タイプ]]=$V$2,通常わざ表[[#This Row],[タイプ]]=$W$2),"↑","")</f>
        <v/>
      </c>
      <c r="O66" s="87">
        <f>IF(OR(通常わざ表[[#This Row],[タイプ]]=$V$2,通常わざ表[[#This Row],[タイプ]]=$W$2),通常わざ表[[#This Row],[威力_g]]*タイプ一致係数,通常わざ表[[#This Row],[威力_g]])</f>
        <v>15</v>
      </c>
      <c r="P66" s="89">
        <f>IF(OR(通常わざ表[[#This Row],[タイプ]]=$V$2,通常わざ表[[#This Row],[タイプ]]=$W$2),通常わざ表[[#This Row],[DPS]]*タイプ一致係数,通常わざ表[[#This Row],[DPS]])</f>
        <v>10</v>
      </c>
      <c r="Q66" s="87">
        <f>IF(OR(通常わざ表[[#This Row],[タイプ]]=$V$2,通常わざ表[[#This Row],[タイプ]]=$W$2),通常わざ表[[#This Row],[威力_m]]*タイプ一致係数,通常わざ表[[#This Row],[威力_m]])</f>
        <v>9</v>
      </c>
      <c r="R66" s="88">
        <f>IF(OR(通常わざ表[[#This Row],[タイプ]]=$V$2,通常わざ表[[#This Row],[タイプ]]=$W$2),通常わざ表[[#This Row],[DPT]]*タイプ一致係数,通常わざ表[[#This Row],[DPT]])</f>
        <v>3</v>
      </c>
    </row>
    <row r="67" spans="1:18" ht="16.5" x14ac:dyDescent="0.45">
      <c r="A67" s="97" t="s">
        <v>164</v>
      </c>
      <c r="B67" s="97" t="s">
        <v>4</v>
      </c>
      <c r="C67" s="460">
        <v>15</v>
      </c>
      <c r="D67" s="90">
        <v>15</v>
      </c>
      <c r="E67" s="91">
        <v>1.5</v>
      </c>
      <c r="F67" s="89">
        <v>10</v>
      </c>
      <c r="G67" s="89">
        <v>10</v>
      </c>
      <c r="H67" s="91">
        <v>1.1000000000000001</v>
      </c>
      <c r="I67" s="460">
        <v>9</v>
      </c>
      <c r="J67" s="90">
        <v>8</v>
      </c>
      <c r="K67" s="90">
        <v>3</v>
      </c>
      <c r="L67" s="89">
        <v>3</v>
      </c>
      <c r="M67" s="89">
        <v>2.6666666666666998</v>
      </c>
      <c r="N67" s="465" t="str">
        <f>IF(OR(通常わざ表[[#This Row],[タイプ]]=$V$2,通常わざ表[[#This Row],[タイプ]]=$W$2),"↑","")</f>
        <v/>
      </c>
      <c r="O67" s="87">
        <f>IF(OR(通常わざ表[[#This Row],[タイプ]]=$V$2,通常わざ表[[#This Row],[タイプ]]=$W$2),通常わざ表[[#This Row],[威力_g]]*タイプ一致係数,通常わざ表[[#This Row],[威力_g]])</f>
        <v>15</v>
      </c>
      <c r="P67" s="89">
        <f>IF(OR(通常わざ表[[#This Row],[タイプ]]=$V$2,通常わざ表[[#This Row],[タイプ]]=$W$2),通常わざ表[[#This Row],[DPS]]*タイプ一致係数,通常わざ表[[#This Row],[DPS]])</f>
        <v>10</v>
      </c>
      <c r="Q67" s="87">
        <f>IF(OR(通常わざ表[[#This Row],[タイプ]]=$V$2,通常わざ表[[#This Row],[タイプ]]=$W$2),通常わざ表[[#This Row],[威力_m]]*タイプ一致係数,通常わざ表[[#This Row],[威力_m]])</f>
        <v>9</v>
      </c>
      <c r="R67" s="88">
        <f>IF(OR(通常わざ表[[#This Row],[タイプ]]=$V$2,通常わざ表[[#This Row],[タイプ]]=$W$2),通常わざ表[[#This Row],[DPT]]*タイプ一致係数,通常わざ表[[#This Row],[DPT]])</f>
        <v>3</v>
      </c>
    </row>
    <row r="68" spans="1:18" ht="16.5" x14ac:dyDescent="0.45">
      <c r="A68" s="106" t="s">
        <v>1499</v>
      </c>
      <c r="B68" s="106" t="s">
        <v>111</v>
      </c>
      <c r="C68" s="460">
        <v>15</v>
      </c>
      <c r="D68" s="90">
        <v>15</v>
      </c>
      <c r="E68" s="91">
        <v>1.5</v>
      </c>
      <c r="F68" s="89">
        <v>10</v>
      </c>
      <c r="G68" s="89">
        <v>10</v>
      </c>
      <c r="H68" s="91">
        <v>1.1000000000000001</v>
      </c>
      <c r="I68" s="460">
        <v>9</v>
      </c>
      <c r="J68" s="90">
        <v>8</v>
      </c>
      <c r="K68" s="90">
        <v>3</v>
      </c>
      <c r="L68" s="89">
        <v>3</v>
      </c>
      <c r="M68" s="89">
        <v>2.6666666666666998</v>
      </c>
      <c r="N68" s="465" t="str">
        <f>IF(OR(通常わざ表[[#This Row],[タイプ]]=$V$2,通常わざ表[[#This Row],[タイプ]]=$W$2),"↑","")</f>
        <v/>
      </c>
      <c r="O68" s="87">
        <f>IF(OR(通常わざ表[[#This Row],[タイプ]]=$V$2,通常わざ表[[#This Row],[タイプ]]=$W$2),通常わざ表[[#This Row],[威力_g]]*タイプ一致係数,通常わざ表[[#This Row],[威力_g]])</f>
        <v>15</v>
      </c>
      <c r="P68" s="89">
        <f>IF(OR(通常わざ表[[#This Row],[タイプ]]=$V$2,通常わざ表[[#This Row],[タイプ]]=$W$2),通常わざ表[[#This Row],[DPS]]*タイプ一致係数,通常わざ表[[#This Row],[DPS]])</f>
        <v>10</v>
      </c>
      <c r="Q68" s="87">
        <f>IF(OR(通常わざ表[[#This Row],[タイプ]]=$V$2,通常わざ表[[#This Row],[タイプ]]=$W$2),通常わざ表[[#This Row],[威力_m]]*タイプ一致係数,通常わざ表[[#This Row],[威力_m]])</f>
        <v>9</v>
      </c>
      <c r="R68" s="88">
        <f>IF(OR(通常わざ表[[#This Row],[タイプ]]=$V$2,通常わざ表[[#This Row],[タイプ]]=$W$2),通常わざ表[[#This Row],[DPT]]*タイプ一致係数,通常わざ表[[#This Row],[DPT]])</f>
        <v>3</v>
      </c>
    </row>
    <row r="69" spans="1:18" ht="16.5" x14ac:dyDescent="0.45">
      <c r="A69" s="105" t="s">
        <v>223</v>
      </c>
      <c r="B69" s="105" t="s">
        <v>12</v>
      </c>
      <c r="C69" s="460">
        <v>15</v>
      </c>
      <c r="D69" s="90">
        <v>15</v>
      </c>
      <c r="E69" s="91">
        <v>1.5</v>
      </c>
      <c r="F69" s="89">
        <v>10</v>
      </c>
      <c r="G69" s="89">
        <v>10</v>
      </c>
      <c r="H69" s="91">
        <v>1.1000000000000001</v>
      </c>
      <c r="I69" s="460">
        <v>9</v>
      </c>
      <c r="J69" s="90">
        <v>8</v>
      </c>
      <c r="K69" s="90">
        <v>3</v>
      </c>
      <c r="L69" s="89">
        <v>3</v>
      </c>
      <c r="M69" s="89">
        <v>2.6666666666666998</v>
      </c>
      <c r="N69" s="465" t="str">
        <f>IF(OR(通常わざ表[[#This Row],[タイプ]]=$V$2,通常わざ表[[#This Row],[タイプ]]=$W$2),"↑","")</f>
        <v/>
      </c>
      <c r="O69" s="87">
        <f>IF(OR(通常わざ表[[#This Row],[タイプ]]=$V$2,通常わざ表[[#This Row],[タイプ]]=$W$2),通常わざ表[[#This Row],[威力_g]]*タイプ一致係数,通常わざ表[[#This Row],[威力_g]])</f>
        <v>15</v>
      </c>
      <c r="P69" s="89">
        <f>IF(OR(通常わざ表[[#This Row],[タイプ]]=$V$2,通常わざ表[[#This Row],[タイプ]]=$W$2),通常わざ表[[#This Row],[DPS]]*タイプ一致係数,通常わざ表[[#This Row],[DPS]])</f>
        <v>10</v>
      </c>
      <c r="Q69" s="87">
        <f>IF(OR(通常わざ表[[#This Row],[タイプ]]=$V$2,通常わざ表[[#This Row],[タイプ]]=$W$2),通常わざ表[[#This Row],[威力_m]]*タイプ一致係数,通常わざ表[[#This Row],[威力_m]])</f>
        <v>9</v>
      </c>
      <c r="R69" s="88">
        <f>IF(OR(通常わざ表[[#This Row],[タイプ]]=$V$2,通常わざ表[[#This Row],[タイプ]]=$W$2),通常わざ表[[#This Row],[DPT]]*タイプ一致係数,通常わざ表[[#This Row],[DPT]])</f>
        <v>3</v>
      </c>
    </row>
    <row r="70" spans="1:18" ht="16.5" x14ac:dyDescent="0.45">
      <c r="A70" s="104" t="s">
        <v>1518</v>
      </c>
      <c r="B70" s="104" t="s">
        <v>3</v>
      </c>
      <c r="C70" s="460">
        <v>15</v>
      </c>
      <c r="D70" s="90">
        <v>15</v>
      </c>
      <c r="E70" s="91">
        <v>1.5</v>
      </c>
      <c r="F70" s="89">
        <v>10</v>
      </c>
      <c r="G70" s="89">
        <v>10</v>
      </c>
      <c r="H70" s="91">
        <v>1.1000000000000001</v>
      </c>
      <c r="I70" s="460">
        <v>9</v>
      </c>
      <c r="J70" s="90">
        <v>8</v>
      </c>
      <c r="K70" s="90">
        <v>3</v>
      </c>
      <c r="L70" s="89">
        <v>3</v>
      </c>
      <c r="M70" s="89">
        <v>2.6666666666666998</v>
      </c>
      <c r="N70" s="465" t="str">
        <f>IF(OR(通常わざ表[[#This Row],[タイプ]]=$V$2,通常わざ表[[#This Row],[タイプ]]=$W$2),"↑","")</f>
        <v/>
      </c>
      <c r="O70" s="87">
        <f>IF(OR(通常わざ表[[#This Row],[タイプ]]=$V$2,通常わざ表[[#This Row],[タイプ]]=$W$2),通常わざ表[[#This Row],[威力_g]]*タイプ一致係数,通常わざ表[[#This Row],[威力_g]])</f>
        <v>15</v>
      </c>
      <c r="P70" s="89">
        <f>IF(OR(通常わざ表[[#This Row],[タイプ]]=$V$2,通常わざ表[[#This Row],[タイプ]]=$W$2),通常わざ表[[#This Row],[DPS]]*タイプ一致係数,通常わざ表[[#This Row],[DPS]])</f>
        <v>10</v>
      </c>
      <c r="Q70" s="87">
        <f>IF(OR(通常わざ表[[#This Row],[タイプ]]=$V$2,通常わざ表[[#This Row],[タイプ]]=$W$2),通常わざ表[[#This Row],[威力_m]]*タイプ一致係数,通常わざ表[[#This Row],[威力_m]])</f>
        <v>9</v>
      </c>
      <c r="R70" s="88">
        <f>IF(OR(通常わざ表[[#This Row],[タイプ]]=$V$2,通常わざ表[[#This Row],[タイプ]]=$W$2),通常わざ表[[#This Row],[DPT]]*タイプ一致係数,通常わざ表[[#This Row],[DPT]])</f>
        <v>3</v>
      </c>
    </row>
    <row r="71" spans="1:18" ht="16.5" x14ac:dyDescent="0.45">
      <c r="A71" s="94" t="s">
        <v>246</v>
      </c>
      <c r="B71" s="94" t="s">
        <v>29</v>
      </c>
      <c r="C71" s="460">
        <v>15</v>
      </c>
      <c r="D71" s="90">
        <v>15</v>
      </c>
      <c r="E71" s="91">
        <v>1.5</v>
      </c>
      <c r="F71" s="89">
        <v>10</v>
      </c>
      <c r="G71" s="89">
        <v>10</v>
      </c>
      <c r="H71" s="91">
        <v>1.1000000000000001</v>
      </c>
      <c r="I71" s="460">
        <v>9</v>
      </c>
      <c r="J71" s="90">
        <v>8</v>
      </c>
      <c r="K71" s="90">
        <v>3</v>
      </c>
      <c r="L71" s="89">
        <v>3</v>
      </c>
      <c r="M71" s="89">
        <v>2.6666666666666998</v>
      </c>
      <c r="N71" s="465" t="str">
        <f>IF(OR(通常わざ表[[#This Row],[タイプ]]=$V$2,通常わざ表[[#This Row],[タイプ]]=$W$2),"↑","")</f>
        <v/>
      </c>
      <c r="O71" s="87">
        <f>IF(OR(通常わざ表[[#This Row],[タイプ]]=$V$2,通常わざ表[[#This Row],[タイプ]]=$W$2),通常わざ表[[#This Row],[威力_g]]*タイプ一致係数,通常わざ表[[#This Row],[威力_g]])</f>
        <v>15</v>
      </c>
      <c r="P71" s="89">
        <f>IF(OR(通常わざ表[[#This Row],[タイプ]]=$V$2,通常わざ表[[#This Row],[タイプ]]=$W$2),通常わざ表[[#This Row],[DPS]]*タイプ一致係数,通常わざ表[[#This Row],[DPS]])</f>
        <v>10</v>
      </c>
      <c r="Q71" s="87">
        <f>IF(OR(通常わざ表[[#This Row],[タイプ]]=$V$2,通常わざ表[[#This Row],[タイプ]]=$W$2),通常わざ表[[#This Row],[威力_m]]*タイプ一致係数,通常わざ表[[#This Row],[威力_m]])</f>
        <v>9</v>
      </c>
      <c r="R71" s="88">
        <f>IF(OR(通常わざ表[[#This Row],[タイプ]]=$V$2,通常わざ表[[#This Row],[タイプ]]=$W$2),通常わざ表[[#This Row],[DPT]]*タイプ一致係数,通常わざ表[[#This Row],[DPT]])</f>
        <v>3</v>
      </c>
    </row>
    <row r="72" spans="1:18" ht="16.5" x14ac:dyDescent="0.45">
      <c r="A72" s="103" t="s">
        <v>1536</v>
      </c>
      <c r="B72" s="103" t="s">
        <v>18</v>
      </c>
      <c r="C72" s="460">
        <v>15</v>
      </c>
      <c r="D72" s="90">
        <v>15</v>
      </c>
      <c r="E72" s="91">
        <v>1.5</v>
      </c>
      <c r="F72" s="89">
        <v>10</v>
      </c>
      <c r="G72" s="89">
        <v>10</v>
      </c>
      <c r="H72" s="91">
        <v>1.1000000000000001</v>
      </c>
      <c r="I72" s="460">
        <v>9</v>
      </c>
      <c r="J72" s="90">
        <v>8</v>
      </c>
      <c r="K72" s="90">
        <v>3</v>
      </c>
      <c r="L72" s="89">
        <v>3</v>
      </c>
      <c r="M72" s="89">
        <v>2.6666666666666998</v>
      </c>
      <c r="N72" s="465" t="str">
        <f>IF(OR(通常わざ表[[#This Row],[タイプ]]=$V$2,通常わざ表[[#This Row],[タイプ]]=$W$2),"↑","")</f>
        <v/>
      </c>
      <c r="O72" s="87">
        <f>IF(OR(通常わざ表[[#This Row],[タイプ]]=$V$2,通常わざ表[[#This Row],[タイプ]]=$W$2),通常わざ表[[#This Row],[威力_g]]*タイプ一致係数,通常わざ表[[#This Row],[威力_g]])</f>
        <v>15</v>
      </c>
      <c r="P72" s="89">
        <f>IF(OR(通常わざ表[[#This Row],[タイプ]]=$V$2,通常わざ表[[#This Row],[タイプ]]=$W$2),通常わざ表[[#This Row],[DPS]]*タイプ一致係数,通常わざ表[[#This Row],[DPS]])</f>
        <v>10</v>
      </c>
      <c r="Q72" s="87">
        <f>IF(OR(通常わざ表[[#This Row],[タイプ]]=$V$2,通常わざ表[[#This Row],[タイプ]]=$W$2),通常わざ表[[#This Row],[威力_m]]*タイプ一致係数,通常わざ表[[#This Row],[威力_m]])</f>
        <v>9</v>
      </c>
      <c r="R72" s="88">
        <f>IF(OR(通常わざ表[[#This Row],[タイプ]]=$V$2,通常わざ表[[#This Row],[タイプ]]=$W$2),通常わざ表[[#This Row],[DPT]]*タイプ一致係数,通常わざ表[[#This Row],[DPT]])</f>
        <v>3</v>
      </c>
    </row>
    <row r="73" spans="1:18" ht="16.5" x14ac:dyDescent="0.45">
      <c r="A73" s="102" t="s">
        <v>1522</v>
      </c>
      <c r="B73" s="102" t="s">
        <v>8</v>
      </c>
      <c r="C73" s="460">
        <v>15</v>
      </c>
      <c r="D73" s="90">
        <v>15</v>
      </c>
      <c r="E73" s="91">
        <v>1.5</v>
      </c>
      <c r="F73" s="89">
        <v>10</v>
      </c>
      <c r="G73" s="89">
        <v>10</v>
      </c>
      <c r="H73" s="91">
        <v>1.1000000000000001</v>
      </c>
      <c r="I73" s="460">
        <v>9</v>
      </c>
      <c r="J73" s="90">
        <v>8</v>
      </c>
      <c r="K73" s="90">
        <v>3</v>
      </c>
      <c r="L73" s="89">
        <v>3</v>
      </c>
      <c r="M73" s="89">
        <v>2.6666666666666998</v>
      </c>
      <c r="N73" s="465" t="str">
        <f>IF(OR(通常わざ表[[#This Row],[タイプ]]=$V$2,通常わざ表[[#This Row],[タイプ]]=$W$2),"↑","")</f>
        <v/>
      </c>
      <c r="O73" s="87">
        <f>IF(OR(通常わざ表[[#This Row],[タイプ]]=$V$2,通常わざ表[[#This Row],[タイプ]]=$W$2),通常わざ表[[#This Row],[威力_g]]*タイプ一致係数,通常わざ表[[#This Row],[威力_g]])</f>
        <v>15</v>
      </c>
      <c r="P73" s="89">
        <f>IF(OR(通常わざ表[[#This Row],[タイプ]]=$V$2,通常わざ表[[#This Row],[タイプ]]=$W$2),通常わざ表[[#This Row],[DPS]]*タイプ一致係数,通常わざ表[[#This Row],[DPS]])</f>
        <v>10</v>
      </c>
      <c r="Q73" s="87">
        <f>IF(OR(通常わざ表[[#This Row],[タイプ]]=$V$2,通常わざ表[[#This Row],[タイプ]]=$W$2),通常わざ表[[#This Row],[威力_m]]*タイプ一致係数,通常わざ表[[#This Row],[威力_m]])</f>
        <v>9</v>
      </c>
      <c r="R73" s="88">
        <f>IF(OR(通常わざ表[[#This Row],[タイプ]]=$V$2,通常わざ表[[#This Row],[タイプ]]=$W$2),通常わざ表[[#This Row],[DPT]]*タイプ一致係数,通常わざ表[[#This Row],[DPT]])</f>
        <v>3</v>
      </c>
    </row>
    <row r="74" spans="1:18" ht="16.5" x14ac:dyDescent="0.45">
      <c r="A74" s="101" t="s">
        <v>1557</v>
      </c>
      <c r="B74" s="101" t="s">
        <v>47</v>
      </c>
      <c r="C74" s="460">
        <v>15</v>
      </c>
      <c r="D74" s="90">
        <v>15</v>
      </c>
      <c r="E74" s="91">
        <v>1.5</v>
      </c>
      <c r="F74" s="89">
        <v>10</v>
      </c>
      <c r="G74" s="89">
        <v>10</v>
      </c>
      <c r="H74" s="91">
        <v>1.1000000000000001</v>
      </c>
      <c r="I74" s="460">
        <v>9</v>
      </c>
      <c r="J74" s="90">
        <v>8</v>
      </c>
      <c r="K74" s="90">
        <v>3</v>
      </c>
      <c r="L74" s="89">
        <v>3</v>
      </c>
      <c r="M74" s="89">
        <v>2.6666666666666998</v>
      </c>
      <c r="N74" s="465" t="str">
        <f>IF(OR(通常わざ表[[#This Row],[タイプ]]=$V$2,通常わざ表[[#This Row],[タイプ]]=$W$2),"↑","")</f>
        <v/>
      </c>
      <c r="O74" s="87">
        <f>IF(OR(通常わざ表[[#This Row],[タイプ]]=$V$2,通常わざ表[[#This Row],[タイプ]]=$W$2),通常わざ表[[#This Row],[威力_g]]*タイプ一致係数,通常わざ表[[#This Row],[威力_g]])</f>
        <v>15</v>
      </c>
      <c r="P74" s="89">
        <f>IF(OR(通常わざ表[[#This Row],[タイプ]]=$V$2,通常わざ表[[#This Row],[タイプ]]=$W$2),通常わざ表[[#This Row],[DPS]]*タイプ一致係数,通常わざ表[[#This Row],[DPS]])</f>
        <v>10</v>
      </c>
      <c r="Q74" s="87">
        <f>IF(OR(通常わざ表[[#This Row],[タイプ]]=$V$2,通常わざ表[[#This Row],[タイプ]]=$W$2),通常わざ表[[#This Row],[威力_m]]*タイプ一致係数,通常わざ表[[#This Row],[威力_m]])</f>
        <v>9</v>
      </c>
      <c r="R74" s="88">
        <f>IF(OR(通常わざ表[[#This Row],[タイプ]]=$V$2,通常わざ表[[#This Row],[タイプ]]=$W$2),通常わざ表[[#This Row],[DPT]]*タイプ一致係数,通常わざ表[[#This Row],[DPT]])</f>
        <v>3</v>
      </c>
    </row>
    <row r="75" spans="1:18" ht="16.5" x14ac:dyDescent="0.45">
      <c r="A75" s="96" t="s">
        <v>1521</v>
      </c>
      <c r="B75" s="96" t="s">
        <v>32</v>
      </c>
      <c r="C75" s="460">
        <v>15</v>
      </c>
      <c r="D75" s="90">
        <v>15</v>
      </c>
      <c r="E75" s="91">
        <v>1.5</v>
      </c>
      <c r="F75" s="89">
        <v>10</v>
      </c>
      <c r="G75" s="89">
        <v>10</v>
      </c>
      <c r="H75" s="91">
        <v>1.1000000000000001</v>
      </c>
      <c r="I75" s="460">
        <v>9</v>
      </c>
      <c r="J75" s="90">
        <v>8</v>
      </c>
      <c r="K75" s="90">
        <v>3</v>
      </c>
      <c r="L75" s="89">
        <v>3</v>
      </c>
      <c r="M75" s="89">
        <v>2.6666666666666998</v>
      </c>
      <c r="N75" s="465" t="str">
        <f>IF(OR(通常わざ表[[#This Row],[タイプ]]=$V$2,通常わざ表[[#This Row],[タイプ]]=$W$2),"↑","")</f>
        <v/>
      </c>
      <c r="O75" s="87">
        <f>IF(OR(通常わざ表[[#This Row],[タイプ]]=$V$2,通常わざ表[[#This Row],[タイプ]]=$W$2),通常わざ表[[#This Row],[威力_g]]*タイプ一致係数,通常わざ表[[#This Row],[威力_g]])</f>
        <v>15</v>
      </c>
      <c r="P75" s="89">
        <f>IF(OR(通常わざ表[[#This Row],[タイプ]]=$V$2,通常わざ表[[#This Row],[タイプ]]=$W$2),通常わざ表[[#This Row],[DPS]]*タイプ一致係数,通常わざ表[[#This Row],[DPS]])</f>
        <v>10</v>
      </c>
      <c r="Q75" s="87">
        <f>IF(OR(通常わざ表[[#This Row],[タイプ]]=$V$2,通常わざ表[[#This Row],[タイプ]]=$W$2),通常わざ表[[#This Row],[威力_m]]*タイプ一致係数,通常わざ表[[#This Row],[威力_m]])</f>
        <v>9</v>
      </c>
      <c r="R75" s="88">
        <f>IF(OR(通常わざ表[[#This Row],[タイプ]]=$V$2,通常わざ表[[#This Row],[タイプ]]=$W$2),通常わざ表[[#This Row],[DPT]]*タイプ一致係数,通常わざ表[[#This Row],[DPT]])</f>
        <v>3</v>
      </c>
    </row>
    <row r="76" spans="1:18" ht="16.5" x14ac:dyDescent="0.45">
      <c r="A76" s="100" t="s">
        <v>1506</v>
      </c>
      <c r="B76" s="100" t="s">
        <v>72</v>
      </c>
      <c r="C76" s="460">
        <v>15</v>
      </c>
      <c r="D76" s="90">
        <v>15</v>
      </c>
      <c r="E76" s="91">
        <v>1.5</v>
      </c>
      <c r="F76" s="89">
        <v>10</v>
      </c>
      <c r="G76" s="89">
        <v>10</v>
      </c>
      <c r="H76" s="91">
        <v>1.1000000000000001</v>
      </c>
      <c r="I76" s="460">
        <v>9</v>
      </c>
      <c r="J76" s="90">
        <v>8</v>
      </c>
      <c r="K76" s="90">
        <v>3</v>
      </c>
      <c r="L76" s="89">
        <v>3</v>
      </c>
      <c r="M76" s="89">
        <v>2.6666666666666998</v>
      </c>
      <c r="N76" s="465" t="str">
        <f>IF(OR(通常わざ表[[#This Row],[タイプ]]=$V$2,通常わざ表[[#This Row],[タイプ]]=$W$2),"↑","")</f>
        <v/>
      </c>
      <c r="O76" s="87">
        <f>IF(OR(通常わざ表[[#This Row],[タイプ]]=$V$2,通常わざ表[[#This Row],[タイプ]]=$W$2),通常わざ表[[#This Row],[威力_g]]*タイプ一致係数,通常わざ表[[#This Row],[威力_g]])</f>
        <v>15</v>
      </c>
      <c r="P76" s="89">
        <f>IF(OR(通常わざ表[[#This Row],[タイプ]]=$V$2,通常わざ表[[#This Row],[タイプ]]=$W$2),通常わざ表[[#This Row],[DPS]]*タイプ一致係数,通常わざ表[[#This Row],[DPS]])</f>
        <v>10</v>
      </c>
      <c r="Q76" s="87">
        <f>IF(OR(通常わざ表[[#This Row],[タイプ]]=$V$2,通常わざ表[[#This Row],[タイプ]]=$W$2),通常わざ表[[#This Row],[威力_m]]*タイプ一致係数,通常わざ表[[#This Row],[威力_m]])</f>
        <v>9</v>
      </c>
      <c r="R76" s="88">
        <f>IF(OR(通常わざ表[[#This Row],[タイプ]]=$V$2,通常わざ表[[#This Row],[タイプ]]=$W$2),通常わざ表[[#This Row],[DPT]]*タイプ一致係数,通常わざ表[[#This Row],[DPT]])</f>
        <v>3</v>
      </c>
    </row>
    <row r="77" spans="1:18" ht="16.5" x14ac:dyDescent="0.45">
      <c r="A77" s="99" t="s">
        <v>1556</v>
      </c>
      <c r="B77" s="99" t="s">
        <v>62</v>
      </c>
      <c r="C77" s="460">
        <v>15</v>
      </c>
      <c r="D77" s="90">
        <v>15</v>
      </c>
      <c r="E77" s="91">
        <v>1.5</v>
      </c>
      <c r="F77" s="89">
        <v>10</v>
      </c>
      <c r="G77" s="89">
        <v>10</v>
      </c>
      <c r="H77" s="91">
        <v>1.1000000000000001</v>
      </c>
      <c r="I77" s="460">
        <v>9</v>
      </c>
      <c r="J77" s="90">
        <v>8</v>
      </c>
      <c r="K77" s="90">
        <v>3</v>
      </c>
      <c r="L77" s="89">
        <v>3</v>
      </c>
      <c r="M77" s="89">
        <v>2.6666666666666998</v>
      </c>
      <c r="N77" s="465" t="str">
        <f>IF(OR(通常わざ表[[#This Row],[タイプ]]=$V$2,通常わざ表[[#This Row],[タイプ]]=$W$2),"↑","")</f>
        <v/>
      </c>
      <c r="O77" s="87">
        <f>IF(OR(通常わざ表[[#This Row],[タイプ]]=$V$2,通常わざ表[[#This Row],[タイプ]]=$W$2),通常わざ表[[#This Row],[威力_g]]*タイプ一致係数,通常わざ表[[#This Row],[威力_g]])</f>
        <v>15</v>
      </c>
      <c r="P77" s="89">
        <f>IF(OR(通常わざ表[[#This Row],[タイプ]]=$V$2,通常わざ表[[#This Row],[タイプ]]=$W$2),通常わざ表[[#This Row],[DPS]]*タイプ一致係数,通常わざ表[[#This Row],[DPS]])</f>
        <v>10</v>
      </c>
      <c r="Q77" s="87">
        <f>IF(OR(通常わざ表[[#This Row],[タイプ]]=$V$2,通常わざ表[[#This Row],[タイプ]]=$W$2),通常わざ表[[#This Row],[威力_m]]*タイプ一致係数,通常わざ表[[#This Row],[威力_m]])</f>
        <v>9</v>
      </c>
      <c r="R77" s="88">
        <f>IF(OR(通常わざ表[[#This Row],[タイプ]]=$V$2,通常わざ表[[#This Row],[タイプ]]=$W$2),通常わざ表[[#This Row],[DPT]]*タイプ一致係数,通常わざ表[[#This Row],[DPT]])</f>
        <v>3</v>
      </c>
    </row>
    <row r="78" spans="1:18" ht="16.5" x14ac:dyDescent="0.45">
      <c r="A78" s="95" t="s">
        <v>1555</v>
      </c>
      <c r="B78" s="95" t="s">
        <v>90</v>
      </c>
      <c r="C78" s="460">
        <v>15</v>
      </c>
      <c r="D78" s="90">
        <v>15</v>
      </c>
      <c r="E78" s="91">
        <v>1.5</v>
      </c>
      <c r="F78" s="89">
        <v>10</v>
      </c>
      <c r="G78" s="89">
        <v>10</v>
      </c>
      <c r="H78" s="91">
        <v>1.1000000000000001</v>
      </c>
      <c r="I78" s="460">
        <v>9</v>
      </c>
      <c r="J78" s="90">
        <v>8</v>
      </c>
      <c r="K78" s="90">
        <v>3</v>
      </c>
      <c r="L78" s="89">
        <v>3</v>
      </c>
      <c r="M78" s="89">
        <v>2.6666666666666998</v>
      </c>
      <c r="N78" s="465" t="str">
        <f>IF(OR(通常わざ表[[#This Row],[タイプ]]=$V$2,通常わざ表[[#This Row],[タイプ]]=$W$2),"↑","")</f>
        <v/>
      </c>
      <c r="O78" s="87">
        <f>IF(OR(通常わざ表[[#This Row],[タイプ]]=$V$2,通常わざ表[[#This Row],[タイプ]]=$W$2),通常わざ表[[#This Row],[威力_g]]*タイプ一致係数,通常わざ表[[#This Row],[威力_g]])</f>
        <v>15</v>
      </c>
      <c r="P78" s="89">
        <f>IF(OR(通常わざ表[[#This Row],[タイプ]]=$V$2,通常わざ表[[#This Row],[タイプ]]=$W$2),通常わざ表[[#This Row],[DPS]]*タイプ一致係数,通常わざ表[[#This Row],[DPS]])</f>
        <v>10</v>
      </c>
      <c r="Q78" s="87">
        <f>IF(OR(通常わざ表[[#This Row],[タイプ]]=$V$2,通常わざ表[[#This Row],[タイプ]]=$W$2),通常わざ表[[#This Row],[威力_m]]*タイプ一致係数,通常わざ表[[#This Row],[威力_m]])</f>
        <v>9</v>
      </c>
      <c r="R78" s="88">
        <f>IF(OR(通常わざ表[[#This Row],[タイプ]]=$V$2,通常わざ表[[#This Row],[タイプ]]=$W$2),通常わざ表[[#This Row],[DPT]]*タイプ一致係数,通常わざ表[[#This Row],[DPT]])</f>
        <v>3</v>
      </c>
    </row>
    <row r="79" spans="1:18" ht="16.5" x14ac:dyDescent="0.45">
      <c r="A79" s="98" t="s">
        <v>1554</v>
      </c>
      <c r="B79" s="98" t="s">
        <v>16</v>
      </c>
      <c r="C79" s="460">
        <v>15</v>
      </c>
      <c r="D79" s="90">
        <v>15</v>
      </c>
      <c r="E79" s="91">
        <v>1.5</v>
      </c>
      <c r="F79" s="89">
        <v>10</v>
      </c>
      <c r="G79" s="89">
        <v>10</v>
      </c>
      <c r="H79" s="91">
        <v>1.1000000000000001</v>
      </c>
      <c r="I79" s="460">
        <v>9</v>
      </c>
      <c r="J79" s="90">
        <v>8</v>
      </c>
      <c r="K79" s="90">
        <v>3</v>
      </c>
      <c r="L79" s="89">
        <v>3</v>
      </c>
      <c r="M79" s="89">
        <v>2.6666666666666998</v>
      </c>
      <c r="N79" s="465" t="str">
        <f>IF(OR(通常わざ表[[#This Row],[タイプ]]=$V$2,通常わざ表[[#This Row],[タイプ]]=$W$2),"↑","")</f>
        <v/>
      </c>
      <c r="O79" s="87">
        <f>IF(OR(通常わざ表[[#This Row],[タイプ]]=$V$2,通常わざ表[[#This Row],[タイプ]]=$W$2),通常わざ表[[#This Row],[威力_g]]*タイプ一致係数,通常わざ表[[#This Row],[威力_g]])</f>
        <v>15</v>
      </c>
      <c r="P79" s="89">
        <f>IF(OR(通常わざ表[[#This Row],[タイプ]]=$V$2,通常わざ表[[#This Row],[タイプ]]=$W$2),通常わざ表[[#This Row],[DPS]]*タイプ一致係数,通常わざ表[[#This Row],[DPS]])</f>
        <v>10</v>
      </c>
      <c r="Q79" s="87">
        <f>IF(OR(通常わざ表[[#This Row],[タイプ]]=$V$2,通常わざ表[[#This Row],[タイプ]]=$W$2),通常わざ表[[#This Row],[威力_m]]*タイプ一致係数,通常わざ表[[#This Row],[威力_m]])</f>
        <v>9</v>
      </c>
      <c r="R79" s="88">
        <f>IF(OR(通常わざ表[[#This Row],[タイプ]]=$V$2,通常わざ表[[#This Row],[タイプ]]=$W$2),通常わざ表[[#This Row],[DPT]]*タイプ一致係数,通常わざ表[[#This Row],[DPT]])</f>
        <v>3</v>
      </c>
    </row>
    <row r="80" spans="1:18" ht="16.5" x14ac:dyDescent="0.45">
      <c r="A80" s="97" t="s">
        <v>56</v>
      </c>
      <c r="B80" s="97" t="s">
        <v>4</v>
      </c>
      <c r="C80" s="460">
        <v>8</v>
      </c>
      <c r="D80" s="90">
        <v>7</v>
      </c>
      <c r="E80" s="91">
        <v>0.7</v>
      </c>
      <c r="F80" s="89">
        <v>11.428571428571001</v>
      </c>
      <c r="G80" s="89">
        <v>10</v>
      </c>
      <c r="H80" s="91">
        <v>0.43</v>
      </c>
      <c r="I80" s="460">
        <v>5</v>
      </c>
      <c r="J80" s="90">
        <v>6</v>
      </c>
      <c r="K80" s="90">
        <v>2</v>
      </c>
      <c r="L80" s="89">
        <v>2.5</v>
      </c>
      <c r="M80" s="89">
        <v>3</v>
      </c>
      <c r="N80" s="465" t="str">
        <f>IF(OR(通常わざ表[[#This Row],[タイプ]]=$V$2,通常わざ表[[#This Row],[タイプ]]=$W$2),"↑","")</f>
        <v/>
      </c>
      <c r="O80" s="87">
        <f>IF(OR(通常わざ表[[#This Row],[タイプ]]=$V$2,通常わざ表[[#This Row],[タイプ]]=$W$2),通常わざ表[[#This Row],[威力_g]]*タイプ一致係数,通常わざ表[[#This Row],[威力_g]])</f>
        <v>8</v>
      </c>
      <c r="P80" s="89">
        <f>IF(OR(通常わざ表[[#This Row],[タイプ]]=$V$2,通常わざ表[[#This Row],[タイプ]]=$W$2),通常わざ表[[#This Row],[DPS]]*タイプ一致係数,通常わざ表[[#This Row],[DPS]])</f>
        <v>11.428571428571001</v>
      </c>
      <c r="Q80" s="87">
        <f>IF(OR(通常わざ表[[#This Row],[タイプ]]=$V$2,通常わざ表[[#This Row],[タイプ]]=$W$2),通常わざ表[[#This Row],[威力_m]]*タイプ一致係数,通常わざ表[[#This Row],[威力_m]])</f>
        <v>5</v>
      </c>
      <c r="R80" s="88">
        <f>IF(OR(通常わざ表[[#This Row],[タイプ]]=$V$2,通常わざ表[[#This Row],[タイプ]]=$W$2),通常わざ表[[#This Row],[DPT]]*タイプ一致係数,通常わざ表[[#This Row],[DPT]])</f>
        <v>2.5</v>
      </c>
    </row>
    <row r="81" spans="1:18" ht="16.5" x14ac:dyDescent="0.45">
      <c r="A81" s="96" t="s">
        <v>104</v>
      </c>
      <c r="B81" s="96" t="s">
        <v>32</v>
      </c>
      <c r="C81" s="460">
        <v>9</v>
      </c>
      <c r="D81" s="90">
        <v>8</v>
      </c>
      <c r="E81" s="91">
        <v>0.8</v>
      </c>
      <c r="F81" s="89">
        <v>11.25</v>
      </c>
      <c r="G81" s="89">
        <v>10</v>
      </c>
      <c r="H81" s="91">
        <v>0.4</v>
      </c>
      <c r="I81" s="460">
        <v>6</v>
      </c>
      <c r="J81" s="90">
        <v>5</v>
      </c>
      <c r="K81" s="90">
        <v>2</v>
      </c>
      <c r="L81" s="89">
        <v>3</v>
      </c>
      <c r="M81" s="89">
        <v>2.5</v>
      </c>
      <c r="N81" s="465" t="str">
        <f>IF(OR(通常わざ表[[#This Row],[タイプ]]=$V$2,通常わざ表[[#This Row],[タイプ]]=$W$2),"↑","")</f>
        <v/>
      </c>
      <c r="O81" s="87">
        <f>IF(OR(通常わざ表[[#This Row],[タイプ]]=$V$2,通常わざ表[[#This Row],[タイプ]]=$W$2),通常わざ表[[#This Row],[威力_g]]*タイプ一致係数,通常わざ表[[#This Row],[威力_g]])</f>
        <v>9</v>
      </c>
      <c r="P81" s="89">
        <f>IF(OR(通常わざ表[[#This Row],[タイプ]]=$V$2,通常わざ表[[#This Row],[タイプ]]=$W$2),通常わざ表[[#This Row],[DPS]]*タイプ一致係数,通常わざ表[[#This Row],[DPS]])</f>
        <v>11.25</v>
      </c>
      <c r="Q81" s="87">
        <f>IF(OR(通常わざ表[[#This Row],[タイプ]]=$V$2,通常わざ表[[#This Row],[タイプ]]=$W$2),通常わざ表[[#This Row],[威力_m]]*タイプ一致係数,通常わざ表[[#This Row],[威力_m]])</f>
        <v>6</v>
      </c>
      <c r="R81" s="88">
        <f>IF(OR(通常わざ表[[#This Row],[タイプ]]=$V$2,通常わざ表[[#This Row],[タイプ]]=$W$2),通常わざ表[[#This Row],[DPT]]*タイプ一致係数,通常わざ表[[#This Row],[DPT]])</f>
        <v>3</v>
      </c>
    </row>
    <row r="82" spans="1:18" ht="16.5" x14ac:dyDescent="0.45">
      <c r="A82" s="95" t="s">
        <v>254</v>
      </c>
      <c r="B82" s="95" t="s">
        <v>90</v>
      </c>
      <c r="C82" s="460">
        <v>6</v>
      </c>
      <c r="D82" s="90">
        <v>4</v>
      </c>
      <c r="E82" s="91">
        <v>0.5</v>
      </c>
      <c r="F82" s="89">
        <v>12</v>
      </c>
      <c r="G82" s="89">
        <v>8</v>
      </c>
      <c r="H82" s="91">
        <v>0.3</v>
      </c>
      <c r="I82" s="460">
        <v>4</v>
      </c>
      <c r="J82" s="90">
        <v>3</v>
      </c>
      <c r="K82" s="90">
        <v>1</v>
      </c>
      <c r="L82" s="89">
        <v>4</v>
      </c>
      <c r="M82" s="89">
        <v>3</v>
      </c>
      <c r="N82" s="465" t="str">
        <f>IF(OR(通常わざ表[[#This Row],[タイプ]]=$V$2,通常わざ表[[#This Row],[タイプ]]=$W$2),"↑","")</f>
        <v/>
      </c>
      <c r="O82" s="87">
        <f>IF(OR(通常わざ表[[#This Row],[タイプ]]=$V$2,通常わざ表[[#This Row],[タイプ]]=$W$2),通常わざ表[[#This Row],[威力_g]]*タイプ一致係数,通常わざ表[[#This Row],[威力_g]])</f>
        <v>6</v>
      </c>
      <c r="P82" s="89">
        <f>IF(OR(通常わざ表[[#This Row],[タイプ]]=$V$2,通常わざ表[[#This Row],[タイプ]]=$W$2),通常わざ表[[#This Row],[DPS]]*タイプ一致係数,通常わざ表[[#This Row],[DPS]])</f>
        <v>12</v>
      </c>
      <c r="Q82" s="87">
        <f>IF(OR(通常わざ表[[#This Row],[タイプ]]=$V$2,通常わざ表[[#This Row],[タイプ]]=$W$2),通常わざ表[[#This Row],[威力_m]]*タイプ一致係数,通常わざ表[[#This Row],[威力_m]])</f>
        <v>4</v>
      </c>
      <c r="R82" s="88">
        <f>IF(OR(通常わざ表[[#This Row],[タイプ]]=$V$2,通常わざ表[[#This Row],[タイプ]]=$W$2),通常わざ表[[#This Row],[DPT]]*タイプ一致係数,通常わざ表[[#This Row],[DPT]])</f>
        <v>4</v>
      </c>
    </row>
    <row r="83" spans="1:18" ht="16.5" x14ac:dyDescent="0.45">
      <c r="A83" s="94" t="s">
        <v>27</v>
      </c>
      <c r="B83" s="94" t="s">
        <v>29</v>
      </c>
      <c r="C83" s="460">
        <v>3</v>
      </c>
      <c r="D83" s="90">
        <v>6</v>
      </c>
      <c r="E83" s="91">
        <v>0.4</v>
      </c>
      <c r="F83" s="89">
        <v>7.5</v>
      </c>
      <c r="G83" s="89">
        <v>15</v>
      </c>
      <c r="H83" s="91">
        <v>0.1</v>
      </c>
      <c r="I83" s="460">
        <v>2</v>
      </c>
      <c r="J83" s="90">
        <v>4</v>
      </c>
      <c r="K83" s="90">
        <v>1</v>
      </c>
      <c r="L83" s="89">
        <v>2</v>
      </c>
      <c r="M83" s="89">
        <v>4</v>
      </c>
      <c r="N83" s="465" t="str">
        <f>IF(OR(通常わざ表[[#This Row],[タイプ]]=$V$2,通常わざ表[[#This Row],[タイプ]]=$W$2),"↑","")</f>
        <v/>
      </c>
      <c r="O83" s="87">
        <f>IF(OR(通常わざ表[[#This Row],[タイプ]]=$V$2,通常わざ表[[#This Row],[タイプ]]=$W$2),通常わざ表[[#This Row],[威力_g]]*タイプ一致係数,通常わざ表[[#This Row],[威力_g]])</f>
        <v>3</v>
      </c>
      <c r="P83" s="89">
        <f>IF(OR(通常わざ表[[#This Row],[タイプ]]=$V$2,通常わざ表[[#This Row],[タイプ]]=$W$2),通常わざ表[[#This Row],[DPS]]*タイプ一致係数,通常わざ表[[#This Row],[DPS]])</f>
        <v>7.5</v>
      </c>
      <c r="Q83" s="87">
        <f>IF(OR(通常わざ表[[#This Row],[タイプ]]=$V$2,通常わざ表[[#This Row],[タイプ]]=$W$2),通常わざ表[[#This Row],[威力_m]]*タイプ一致係数,通常わざ表[[#This Row],[威力_m]])</f>
        <v>2</v>
      </c>
      <c r="R83" s="88">
        <f>IF(OR(通常わざ表[[#This Row],[タイプ]]=$V$2,通常わざ表[[#This Row],[タイプ]]=$W$2),通常わざ表[[#This Row],[DPT]]*タイプ一致係数,通常わざ表[[#This Row],[DPT]])</f>
        <v>2</v>
      </c>
    </row>
    <row r="84" spans="1:18" ht="18" customHeight="1" x14ac:dyDescent="0.45">
      <c r="A84" s="93" t="s">
        <v>1553</v>
      </c>
      <c r="B84" s="93" t="s">
        <v>68</v>
      </c>
      <c r="C84" s="460">
        <v>1</v>
      </c>
      <c r="D84" s="90">
        <v>6</v>
      </c>
      <c r="E84" s="91">
        <v>0.3</v>
      </c>
      <c r="F84" s="89">
        <v>3.3333333333333002</v>
      </c>
      <c r="G84" s="89">
        <v>20</v>
      </c>
      <c r="H84" s="91">
        <v>0.17</v>
      </c>
      <c r="I84" s="460">
        <v>1</v>
      </c>
      <c r="J84" s="90">
        <v>5</v>
      </c>
      <c r="K84" s="90">
        <v>1</v>
      </c>
      <c r="L84" s="89">
        <v>1</v>
      </c>
      <c r="M84" s="89">
        <v>5</v>
      </c>
      <c r="N84" s="465" t="str">
        <f>IF(OR(通常わざ表[[#This Row],[タイプ]]=$V$2,通常わざ表[[#This Row],[タイプ]]=$W$2),"↑","")</f>
        <v/>
      </c>
      <c r="O84" s="87">
        <f>IF(OR(通常わざ表[[#This Row],[タイプ]]=$V$2,通常わざ表[[#This Row],[タイプ]]=$W$2),通常わざ表[[#This Row],[威力_g]]*タイプ一致係数,通常わざ表[[#This Row],[威力_g]])</f>
        <v>1</v>
      </c>
      <c r="P84" s="89">
        <f>IF(OR(通常わざ表[[#This Row],[タイプ]]=$V$2,通常わざ表[[#This Row],[タイプ]]=$W$2),通常わざ表[[#This Row],[DPS]]*タイプ一致係数,通常わざ表[[#This Row],[DPS]])</f>
        <v>3.3333333333333002</v>
      </c>
      <c r="Q84" s="87">
        <f>IF(OR(通常わざ表[[#This Row],[タイプ]]=$V$2,通常わざ表[[#This Row],[タイプ]]=$W$2),通常わざ表[[#This Row],[威力_m]]*タイプ一致係数,通常わざ表[[#This Row],[威力_m]])</f>
        <v>1</v>
      </c>
      <c r="R84" s="88">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5"/>
  <sheetViews>
    <sheetView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6" customWidth="1"/>
    <col min="2" max="2" width="7.6640625" style="116" customWidth="1"/>
    <col min="3" max="3" width="5.44140625" style="468" customWidth="1"/>
    <col min="4" max="4" width="5.44140625" style="91" customWidth="1"/>
    <col min="5" max="5" width="5.44140625" style="89" customWidth="1"/>
    <col min="6" max="6" width="5.44140625" style="116" customWidth="1"/>
    <col min="7" max="7" width="5.44140625" style="91" customWidth="1"/>
    <col min="8" max="8" width="5.44140625" style="468" customWidth="1"/>
    <col min="9" max="9" width="5.44140625" style="116" customWidth="1"/>
    <col min="10" max="10" width="5.44140625" style="91" customWidth="1"/>
    <col min="11" max="11" width="11.21875" style="90" customWidth="1"/>
    <col min="12" max="13" width="4" style="90" customWidth="1"/>
    <col min="14" max="14" width="7.88671875" style="473" hidden="1" customWidth="1"/>
    <col min="15" max="15" width="5.44140625" style="116" hidden="1" customWidth="1"/>
    <col min="16" max="16" width="5.44140625" style="89" hidden="1" customWidth="1"/>
    <col min="17" max="17" width="5.44140625" style="116" hidden="1" customWidth="1"/>
    <col min="18" max="18" width="5.44140625" style="91" hidden="1" customWidth="1"/>
    <col min="19" max="20" width="6.44140625" style="116" customWidth="1"/>
    <col min="21" max="21" width="9.44140625" style="116" customWidth="1"/>
    <col min="22" max="24" width="6.44140625" style="116" customWidth="1"/>
    <col min="25" max="16384" width="8.88671875" style="116"/>
  </cols>
  <sheetData>
    <row r="1" spans="1:23" ht="13.5" customHeight="1" x14ac:dyDescent="0.45">
      <c r="A1" s="373"/>
      <c r="B1" s="373"/>
      <c r="C1" s="466" t="s">
        <v>2819</v>
      </c>
      <c r="D1" s="379" t="s">
        <v>2820</v>
      </c>
      <c r="E1" s="380"/>
      <c r="F1" s="389" t="s">
        <v>2833</v>
      </c>
      <c r="G1" s="379" t="s">
        <v>2832</v>
      </c>
      <c r="H1" s="469" t="s">
        <v>2818</v>
      </c>
      <c r="I1" s="391" t="s">
        <v>2833</v>
      </c>
      <c r="J1" s="392"/>
      <c r="K1" s="383" t="s">
        <v>2830</v>
      </c>
      <c r="L1" s="383" t="s">
        <v>2826</v>
      </c>
      <c r="M1" s="383" t="s">
        <v>2828</v>
      </c>
      <c r="N1" s="471" t="s">
        <v>2824</v>
      </c>
      <c r="O1" s="389" t="s">
        <v>2819</v>
      </c>
      <c r="P1" s="380"/>
      <c r="Q1" s="391" t="s">
        <v>2818</v>
      </c>
      <c r="R1" s="392"/>
    </row>
    <row r="2" spans="1:23" x14ac:dyDescent="0.45">
      <c r="A2" s="116" t="s">
        <v>1562</v>
      </c>
      <c r="B2" s="116" t="s">
        <v>1550</v>
      </c>
      <c r="C2" s="467" t="s">
        <v>3851</v>
      </c>
      <c r="D2" s="381" t="s">
        <v>3852</v>
      </c>
      <c r="E2" s="382" t="s">
        <v>1561</v>
      </c>
      <c r="F2" s="390" t="s">
        <v>3853</v>
      </c>
      <c r="G2" s="381" t="s">
        <v>3854</v>
      </c>
      <c r="H2" s="470" t="s">
        <v>3855</v>
      </c>
      <c r="I2" s="369" t="s">
        <v>3856</v>
      </c>
      <c r="J2" s="370" t="s">
        <v>1572</v>
      </c>
      <c r="K2" s="372" t="s">
        <v>2829</v>
      </c>
      <c r="L2" s="372" t="s">
        <v>2825</v>
      </c>
      <c r="M2" s="372" t="s">
        <v>2827</v>
      </c>
      <c r="N2" s="472" t="s">
        <v>2823</v>
      </c>
      <c r="O2" s="390" t="s">
        <v>3857</v>
      </c>
      <c r="P2" s="382" t="s">
        <v>3858</v>
      </c>
      <c r="Q2" s="369" t="s">
        <v>3859</v>
      </c>
      <c r="R2" s="370" t="s">
        <v>3860</v>
      </c>
      <c r="T2" s="116" t="s">
        <v>1552</v>
      </c>
      <c r="U2" s="135"/>
      <c r="V2" s="519"/>
      <c r="W2" s="519"/>
    </row>
    <row r="3" spans="1:23" ht="16.5" customHeight="1" x14ac:dyDescent="0.45">
      <c r="A3" s="118" t="s">
        <v>182</v>
      </c>
      <c r="B3" s="118" t="s">
        <v>8</v>
      </c>
      <c r="C3" s="468">
        <v>80</v>
      </c>
      <c r="D3" s="91">
        <v>2.5</v>
      </c>
      <c r="E3" s="89">
        <v>32</v>
      </c>
      <c r="F3" s="116">
        <v>2</v>
      </c>
      <c r="G3" s="91">
        <v>1.8</v>
      </c>
      <c r="H3" s="468">
        <v>90</v>
      </c>
      <c r="I3" s="116">
        <v>55</v>
      </c>
      <c r="J3" s="91">
        <v>1.6363636363636</v>
      </c>
      <c r="N3" s="473" t="str">
        <f>IF(OR(ゲージわざ表[[#This Row],[タイプ]]=$V$2,ゲージわざ表[[#This Row],[タイプ]]=$W$2),"↑","")</f>
        <v/>
      </c>
      <c r="O3" s="116">
        <f>IF(OR(ゲージわざ表[[#This Row],[タイプ]]=$V$2,ゲージわざ表[[#This Row],[タイプ]]=$W$2),ゲージわざ表[[#This Row],[威力_g]]*タイプ一致係数,ゲージわざ表[[#This Row],[威力_g]])</f>
        <v>80</v>
      </c>
      <c r="P3" s="89">
        <f>IF(OR(ゲージわざ表[[#This Row],[タイプ]]=$V$2,ゲージわざ表[[#This Row],[タイプ]]=$W$2),ゲージわざ表[[#This Row],[DPS]]*タイプ一致係数,ゲージわざ表[[#This Row],[DPS]])</f>
        <v>32</v>
      </c>
      <c r="Q3" s="116">
        <f>IF(OR(ゲージわざ表[[#This Row],[タイプ]]=$V$2,ゲージわざ表[[#This Row],[タイプ]]=$W$2),ゲージわざ表[[#This Row],[威力_m]]*タイプ一致係数,ゲージわざ表[[#This Row],[威力_m]])</f>
        <v>90</v>
      </c>
      <c r="R3" s="91">
        <f>IF(OR(ゲージわざ表[[#This Row],[タイプ]]=$V$2,ゲージわざ表[[#This Row],[タイプ]]=$W$2),ゲージわざ表[[#This Row],[DPE]]*タイプ一致係数,ゲージわざ表[[#This Row],[DPE]])</f>
        <v>1.6363636363636</v>
      </c>
    </row>
    <row r="4" spans="1:23" ht="16.5" customHeight="1" x14ac:dyDescent="0.45">
      <c r="A4" s="124" t="s">
        <v>184</v>
      </c>
      <c r="B4" s="124" t="s">
        <v>4</v>
      </c>
      <c r="C4" s="468">
        <v>60</v>
      </c>
      <c r="D4" s="91">
        <v>1.9</v>
      </c>
      <c r="E4" s="89">
        <v>31.578947368421002</v>
      </c>
      <c r="F4" s="116">
        <v>2</v>
      </c>
      <c r="G4" s="91">
        <v>1.3</v>
      </c>
      <c r="H4" s="468">
        <v>70</v>
      </c>
      <c r="I4" s="116">
        <v>50</v>
      </c>
      <c r="J4" s="91">
        <v>1.4</v>
      </c>
      <c r="N4" s="473" t="str">
        <f>IF(OR(ゲージわざ表[[#This Row],[タイプ]]=$V$2,ゲージわざ表[[#This Row],[タイプ]]=$W$2),"↑","")</f>
        <v/>
      </c>
      <c r="O4" s="116">
        <f>IF(OR(ゲージわざ表[[#This Row],[タイプ]]=$V$2,ゲージわざ表[[#This Row],[タイプ]]=$W$2),ゲージわざ表[[#This Row],[威力_g]]*タイプ一致係数,ゲージわざ表[[#This Row],[威力_g]])</f>
        <v>60</v>
      </c>
      <c r="P4" s="89">
        <f>IF(OR(ゲージわざ表[[#This Row],[タイプ]]=$V$2,ゲージわざ表[[#This Row],[タイプ]]=$W$2),ゲージわざ表[[#This Row],[DPS]]*タイプ一致係数,ゲージわざ表[[#This Row],[DPS]])</f>
        <v>31.578947368421002</v>
      </c>
      <c r="Q4" s="116">
        <f>IF(OR(ゲージわざ表[[#This Row],[タイプ]]=$V$2,ゲージわざ表[[#This Row],[タイプ]]=$W$2),ゲージわざ表[[#This Row],[威力_m]]*タイプ一致係数,ゲージわざ表[[#This Row],[威力_m]])</f>
        <v>70</v>
      </c>
      <c r="R4" s="91">
        <f>IF(OR(ゲージわざ表[[#This Row],[タイプ]]=$V$2,ゲージわざ表[[#This Row],[タイプ]]=$W$2),ゲージわざ表[[#This Row],[DPE]]*タイプ一致係数,ゲージわざ表[[#This Row],[DPE]])</f>
        <v>1.4</v>
      </c>
    </row>
    <row r="5" spans="1:23" x14ac:dyDescent="0.45">
      <c r="A5" s="128" t="s">
        <v>1519</v>
      </c>
      <c r="B5" s="128" t="s">
        <v>111</v>
      </c>
      <c r="C5" s="468">
        <v>45</v>
      </c>
      <c r="D5" s="91">
        <v>2.6</v>
      </c>
      <c r="E5" s="89">
        <v>17.307692307692001</v>
      </c>
      <c r="F5" s="116">
        <v>3</v>
      </c>
      <c r="G5" s="91">
        <v>1.7</v>
      </c>
      <c r="H5" s="468">
        <v>45</v>
      </c>
      <c r="I5" s="116">
        <v>45</v>
      </c>
      <c r="J5" s="91">
        <v>1</v>
      </c>
      <c r="N5" s="473" t="str">
        <f>IF(OR(ゲージわざ表[[#This Row],[タイプ]]=$V$2,ゲージわざ表[[#This Row],[タイプ]]=$W$2),"↑","")</f>
        <v/>
      </c>
      <c r="O5" s="116">
        <f>IF(OR(ゲージわざ表[[#This Row],[タイプ]]=$V$2,ゲージわざ表[[#This Row],[タイプ]]=$W$2),ゲージわざ表[[#This Row],[威力_g]]*タイプ一致係数,ゲージわざ表[[#This Row],[威力_g]])</f>
        <v>45</v>
      </c>
      <c r="P5" s="89">
        <f>IF(OR(ゲージわざ表[[#This Row],[タイプ]]=$V$2,ゲージわざ表[[#This Row],[タイプ]]=$W$2),ゲージわざ表[[#This Row],[DPS]]*タイプ一致係数,ゲージわざ表[[#This Row],[DPS]])</f>
        <v>17.307692307692001</v>
      </c>
      <c r="Q5" s="116">
        <f>IF(OR(ゲージわざ表[[#This Row],[タイプ]]=$V$2,ゲージわざ表[[#This Row],[タイプ]]=$W$2),ゲージわざ表[[#This Row],[威力_m]]*タイプ一致係数,ゲージわざ表[[#This Row],[威力_m]])</f>
        <v>45</v>
      </c>
      <c r="R5" s="91">
        <f>IF(OR(ゲージわざ表[[#This Row],[タイプ]]=$V$2,ゲージわざ表[[#This Row],[タイプ]]=$W$2),ゲージわざ表[[#This Row],[DPE]]*タイプ一致係数,ゲージわざ表[[#This Row],[DPE]])</f>
        <v>1</v>
      </c>
    </row>
    <row r="6" spans="1:23" ht="16.5" customHeight="1" x14ac:dyDescent="0.45">
      <c r="A6" s="128" t="s">
        <v>306</v>
      </c>
      <c r="B6" s="128" t="s">
        <v>111</v>
      </c>
      <c r="C6" s="468">
        <v>50</v>
      </c>
      <c r="D6" s="91">
        <v>1.9</v>
      </c>
      <c r="E6" s="89">
        <v>26.315789473683999</v>
      </c>
      <c r="F6" s="116">
        <v>3</v>
      </c>
      <c r="G6" s="91">
        <v>1.2</v>
      </c>
      <c r="H6" s="468">
        <v>50</v>
      </c>
      <c r="I6" s="116">
        <v>35</v>
      </c>
      <c r="J6" s="91">
        <v>1.4285714285714</v>
      </c>
      <c r="N6" s="473" t="str">
        <f>IF(OR(ゲージわざ表[[#This Row],[タイプ]]=$V$2,ゲージわざ表[[#This Row],[タイプ]]=$W$2),"↑","")</f>
        <v/>
      </c>
      <c r="O6" s="116">
        <f>IF(OR(ゲージわざ表[[#This Row],[タイプ]]=$V$2,ゲージわざ表[[#This Row],[タイプ]]=$W$2),ゲージわざ表[[#This Row],[威力_g]]*タイプ一致係数,ゲージわざ表[[#This Row],[威力_g]])</f>
        <v>50</v>
      </c>
      <c r="P6" s="89">
        <f>IF(OR(ゲージわざ表[[#This Row],[タイプ]]=$V$2,ゲージわざ表[[#This Row],[タイプ]]=$W$2),ゲージわざ表[[#This Row],[DPS]]*タイプ一致係数,ゲージわざ表[[#This Row],[DPS]])</f>
        <v>26.315789473683999</v>
      </c>
      <c r="Q6" s="116">
        <f>IF(OR(ゲージわざ表[[#This Row],[タイプ]]=$V$2,ゲージわざ表[[#This Row],[タイプ]]=$W$2),ゲージわざ表[[#This Row],[威力_m]]*タイプ一致係数,ゲージわざ表[[#This Row],[威力_m]])</f>
        <v>50</v>
      </c>
      <c r="R6" s="91">
        <f>IF(OR(ゲージわざ表[[#This Row],[タイプ]]=$V$2,ゲージわざ表[[#This Row],[タイプ]]=$W$2),ゲージわざ表[[#This Row],[DPE]]*タイプ一致係数,ゲージわざ表[[#This Row],[DPE]])</f>
        <v>1.4285714285714</v>
      </c>
    </row>
    <row r="7" spans="1:23" x14ac:dyDescent="0.45">
      <c r="A7" s="134" t="s">
        <v>160</v>
      </c>
      <c r="B7" s="134" t="s">
        <v>78</v>
      </c>
      <c r="C7" s="468">
        <v>80</v>
      </c>
      <c r="D7" s="91">
        <v>3</v>
      </c>
      <c r="E7" s="89">
        <v>26.666666666666998</v>
      </c>
      <c r="F7" s="116">
        <v>2</v>
      </c>
      <c r="G7" s="91">
        <v>1.4</v>
      </c>
      <c r="H7" s="468">
        <v>80</v>
      </c>
      <c r="I7" s="116">
        <v>50</v>
      </c>
      <c r="J7" s="91">
        <v>1.6</v>
      </c>
      <c r="N7" s="473" t="str">
        <f>IF(OR(ゲージわざ表[[#This Row],[タイプ]]=$V$2,ゲージわざ表[[#This Row],[タイプ]]=$W$2),"↑","")</f>
        <v/>
      </c>
      <c r="O7" s="116">
        <f>IF(OR(ゲージわざ表[[#This Row],[タイプ]]=$V$2,ゲージわざ表[[#This Row],[タイプ]]=$W$2),ゲージわざ表[[#This Row],[威力_g]]*タイプ一致係数,ゲージわざ表[[#This Row],[威力_g]])</f>
        <v>80</v>
      </c>
      <c r="P7" s="89">
        <f>IF(OR(ゲージわざ表[[#This Row],[タイプ]]=$V$2,ゲージわざ表[[#This Row],[タイプ]]=$W$2),ゲージわざ表[[#This Row],[DPS]]*タイプ一致係数,ゲージわざ表[[#This Row],[DPS]])</f>
        <v>26.666666666666998</v>
      </c>
      <c r="Q7" s="116">
        <f>IF(OR(ゲージわざ表[[#This Row],[タイプ]]=$V$2,ゲージわざ表[[#This Row],[タイプ]]=$W$2),ゲージわざ表[[#This Row],[威力_m]]*タイプ一致係数,ゲージわざ表[[#This Row],[威力_m]])</f>
        <v>80</v>
      </c>
      <c r="R7" s="91">
        <f>IF(OR(ゲージわざ表[[#This Row],[タイプ]]=$V$2,ゲージわざ表[[#This Row],[タイプ]]=$W$2),ゲージわざ表[[#This Row],[DPE]]*タイプ一致係数,ゲージわざ表[[#This Row],[DPE]])</f>
        <v>1.6</v>
      </c>
    </row>
    <row r="8" spans="1:23" x14ac:dyDescent="0.45">
      <c r="A8" s="132" t="s">
        <v>55</v>
      </c>
      <c r="B8" s="132" t="s">
        <v>32</v>
      </c>
      <c r="C8" s="468">
        <v>20</v>
      </c>
      <c r="D8" s="91">
        <v>3</v>
      </c>
      <c r="E8" s="89">
        <v>6.6666666666666998</v>
      </c>
      <c r="F8" s="116">
        <v>2</v>
      </c>
      <c r="G8" s="91">
        <v>2.1</v>
      </c>
      <c r="H8" s="468">
        <v>20</v>
      </c>
      <c r="I8" s="116">
        <v>50</v>
      </c>
      <c r="J8" s="91">
        <v>0.4</v>
      </c>
      <c r="K8" s="90" t="s">
        <v>1770</v>
      </c>
      <c r="L8" s="90">
        <v>2</v>
      </c>
      <c r="M8" s="90">
        <v>1</v>
      </c>
      <c r="N8" s="473" t="str">
        <f>IF(OR(ゲージわざ表[[#This Row],[タイプ]]=$V$2,ゲージわざ表[[#This Row],[タイプ]]=$W$2),"↑","")</f>
        <v/>
      </c>
      <c r="O8" s="116">
        <f>IF(OR(ゲージわざ表[[#This Row],[タイプ]]=$V$2,ゲージわざ表[[#This Row],[タイプ]]=$W$2),ゲージわざ表[[#This Row],[威力_g]]*タイプ一致係数,ゲージわざ表[[#This Row],[威力_g]])</f>
        <v>20</v>
      </c>
      <c r="P8" s="89">
        <f>IF(OR(ゲージわざ表[[#This Row],[タイプ]]=$V$2,ゲージわざ表[[#This Row],[タイプ]]=$W$2),ゲージわざ表[[#This Row],[DPS]]*タイプ一致係数,ゲージわざ表[[#This Row],[DPS]])</f>
        <v>6.6666666666666998</v>
      </c>
      <c r="Q8" s="116">
        <f>IF(OR(ゲージわざ表[[#This Row],[タイプ]]=$V$2,ゲージわざ表[[#This Row],[タイプ]]=$W$2),ゲージわざ表[[#This Row],[威力_m]]*タイプ一致係数,ゲージわざ表[[#This Row],[威力_m]])</f>
        <v>20</v>
      </c>
      <c r="R8" s="91">
        <f>IF(OR(ゲージわざ表[[#This Row],[タイプ]]=$V$2,ゲージわざ表[[#This Row],[タイプ]]=$W$2),ゲージわざ表[[#This Row],[DPE]]*タイプ一致係数,ゲージわざ表[[#This Row],[DPE]])</f>
        <v>0.4</v>
      </c>
    </row>
    <row r="9" spans="1:23" ht="16.5" customHeight="1" x14ac:dyDescent="0.45">
      <c r="A9" s="130" t="s">
        <v>1490</v>
      </c>
      <c r="B9" s="130" t="s">
        <v>3</v>
      </c>
      <c r="C9" s="468">
        <v>100</v>
      </c>
      <c r="D9" s="91">
        <v>4.7</v>
      </c>
      <c r="E9" s="89">
        <v>21.276595744681</v>
      </c>
      <c r="F9" s="116">
        <v>2</v>
      </c>
      <c r="G9" s="91">
        <v>2.8</v>
      </c>
      <c r="H9" s="468">
        <v>100</v>
      </c>
      <c r="I9" s="116">
        <v>80</v>
      </c>
      <c r="J9" s="91">
        <v>1.25</v>
      </c>
      <c r="N9" s="473" t="str">
        <f>IF(OR(ゲージわざ表[[#This Row],[タイプ]]=$V$2,ゲージわざ表[[#This Row],[タイプ]]=$W$2),"↑","")</f>
        <v/>
      </c>
      <c r="O9" s="116">
        <f>IF(OR(ゲージわざ表[[#This Row],[タイプ]]=$V$2,ゲージわざ表[[#This Row],[タイプ]]=$W$2),ゲージわざ表[[#This Row],[威力_g]]*タイプ一致係数,ゲージわざ表[[#This Row],[威力_g]])</f>
        <v>100</v>
      </c>
      <c r="P9" s="89">
        <f>IF(OR(ゲージわざ表[[#This Row],[タイプ]]=$V$2,ゲージわざ表[[#This Row],[タイプ]]=$W$2),ゲージわざ表[[#This Row],[DPS]]*タイプ一致係数,ゲージわざ表[[#This Row],[DPS]])</f>
        <v>21.276595744681</v>
      </c>
      <c r="Q9" s="116">
        <f>IF(OR(ゲージわざ表[[#This Row],[タイプ]]=$V$2,ゲージわざ表[[#This Row],[タイプ]]=$W$2),ゲージわざ表[[#This Row],[威力_m]]*タイプ一致係数,ゲージわざ表[[#This Row],[威力_m]])</f>
        <v>100</v>
      </c>
      <c r="R9" s="91">
        <f>IF(OR(ゲージわざ表[[#This Row],[タイプ]]=$V$2,ゲージわざ表[[#This Row],[タイプ]]=$W$2),ゲージわざ表[[#This Row],[DPE]]*タイプ一致係数,ゲージわざ表[[#This Row],[DPE]])</f>
        <v>1.25</v>
      </c>
    </row>
    <row r="10" spans="1:23" ht="16.5" customHeight="1" x14ac:dyDescent="0.45">
      <c r="A10" s="133" t="s">
        <v>1486</v>
      </c>
      <c r="B10" s="133" t="s">
        <v>16</v>
      </c>
      <c r="C10" s="468">
        <v>50</v>
      </c>
      <c r="D10" s="91">
        <v>2.2999999999999998</v>
      </c>
      <c r="E10" s="89">
        <v>21.739130434783</v>
      </c>
      <c r="F10" s="116">
        <v>3</v>
      </c>
      <c r="G10" s="91">
        <v>1.85</v>
      </c>
      <c r="H10" s="468">
        <v>50</v>
      </c>
      <c r="I10" s="116">
        <v>40</v>
      </c>
      <c r="J10" s="91">
        <v>1.25</v>
      </c>
      <c r="K10" s="90" t="s">
        <v>1768</v>
      </c>
      <c r="L10" s="90">
        <v>2</v>
      </c>
      <c r="M10" s="90">
        <v>0.1</v>
      </c>
      <c r="N10" s="473" t="str">
        <f>IF(OR(ゲージわざ表[[#This Row],[タイプ]]=$V$2,ゲージわざ表[[#This Row],[タイプ]]=$W$2),"↑","")</f>
        <v/>
      </c>
      <c r="O10" s="116">
        <f>IF(OR(ゲージわざ表[[#This Row],[タイプ]]=$V$2,ゲージわざ表[[#This Row],[タイプ]]=$W$2),ゲージわざ表[[#This Row],[威力_g]]*タイプ一致係数,ゲージわざ表[[#This Row],[威力_g]])</f>
        <v>50</v>
      </c>
      <c r="P10" s="89">
        <f>IF(OR(ゲージわざ表[[#This Row],[タイプ]]=$V$2,ゲージわざ表[[#This Row],[タイプ]]=$W$2),ゲージわざ表[[#This Row],[DPS]]*タイプ一致係数,ゲージわざ表[[#This Row],[DPS]])</f>
        <v>21.739130434783</v>
      </c>
      <c r="Q10" s="116">
        <f>IF(OR(ゲージわざ表[[#This Row],[タイプ]]=$V$2,ゲージわざ表[[#This Row],[タイプ]]=$W$2),ゲージわざ表[[#This Row],[威力_m]]*タイプ一致係数,ゲージわざ表[[#This Row],[威力_m]])</f>
        <v>50</v>
      </c>
      <c r="R10" s="91">
        <f>IF(OR(ゲージわざ表[[#This Row],[タイプ]]=$V$2,ゲージわざ表[[#This Row],[タイプ]]=$W$2),ゲージわざ表[[#This Row],[DPE]]*タイプ一致係数,ゲージわざ表[[#This Row],[DPE]])</f>
        <v>1.25</v>
      </c>
    </row>
    <row r="11" spans="1:23" x14ac:dyDescent="0.45">
      <c r="A11" s="134" t="s">
        <v>30</v>
      </c>
      <c r="B11" s="134" t="s">
        <v>78</v>
      </c>
      <c r="C11" s="468">
        <v>70</v>
      </c>
      <c r="D11" s="91">
        <v>2</v>
      </c>
      <c r="E11" s="89">
        <v>35</v>
      </c>
      <c r="F11" s="116">
        <v>2</v>
      </c>
      <c r="G11" s="91">
        <v>1.7</v>
      </c>
      <c r="H11" s="468">
        <v>70</v>
      </c>
      <c r="I11" s="116">
        <v>45</v>
      </c>
      <c r="J11" s="91">
        <v>1.5555555555556</v>
      </c>
      <c r="N11" s="473" t="str">
        <f>IF(OR(ゲージわざ表[[#This Row],[タイプ]]=$V$2,ゲージわざ表[[#This Row],[タイプ]]=$W$2),"↑","")</f>
        <v/>
      </c>
      <c r="O11" s="116">
        <f>IF(OR(ゲージわざ表[[#This Row],[タイプ]]=$V$2,ゲージわざ表[[#This Row],[タイプ]]=$W$2),ゲージわざ表[[#This Row],[威力_g]]*タイプ一致係数,ゲージわざ表[[#This Row],[威力_g]])</f>
        <v>70</v>
      </c>
      <c r="P11" s="89">
        <f>IF(OR(ゲージわざ表[[#This Row],[タイプ]]=$V$2,ゲージわざ表[[#This Row],[タイプ]]=$W$2),ゲージわざ表[[#This Row],[DPS]]*タイプ一致係数,ゲージわざ表[[#This Row],[DPS]])</f>
        <v>35</v>
      </c>
      <c r="Q11" s="116">
        <f>IF(OR(ゲージわざ表[[#This Row],[タイプ]]=$V$2,ゲージわざ表[[#This Row],[タイプ]]=$W$2),ゲージわざ表[[#This Row],[威力_m]]*タイプ一致係数,ゲージわざ表[[#This Row],[威力_m]])</f>
        <v>70</v>
      </c>
      <c r="R11" s="91">
        <f>IF(OR(ゲージわざ表[[#This Row],[タイプ]]=$V$2,ゲージわざ表[[#This Row],[タイプ]]=$W$2),ゲージわざ表[[#This Row],[DPE]]*タイプ一致係数,ゲージわざ表[[#This Row],[DPE]])</f>
        <v>1.5555555555556</v>
      </c>
    </row>
    <row r="12" spans="1:23" x14ac:dyDescent="0.45">
      <c r="A12" s="119" t="s">
        <v>40</v>
      </c>
      <c r="B12" s="119" t="s">
        <v>43</v>
      </c>
      <c r="C12" s="468">
        <v>80</v>
      </c>
      <c r="D12" s="91">
        <v>2.7</v>
      </c>
      <c r="E12" s="89">
        <v>29.629629629629999</v>
      </c>
      <c r="F12" s="116">
        <v>2</v>
      </c>
      <c r="G12" s="91">
        <v>1.5</v>
      </c>
      <c r="H12" s="468">
        <v>80</v>
      </c>
      <c r="I12" s="116">
        <v>45</v>
      </c>
      <c r="J12" s="91">
        <v>1.7777777777778001</v>
      </c>
      <c r="N12" s="473" t="str">
        <f>IF(OR(ゲージわざ表[[#This Row],[タイプ]]=$V$2,ゲージわざ表[[#This Row],[タイプ]]=$W$2),"↑","")</f>
        <v/>
      </c>
      <c r="O12" s="116">
        <f>IF(OR(ゲージわざ表[[#This Row],[タイプ]]=$V$2,ゲージわざ表[[#This Row],[タイプ]]=$W$2),ゲージわざ表[[#This Row],[威力_g]]*タイプ一致係数,ゲージわざ表[[#This Row],[威力_g]])</f>
        <v>80</v>
      </c>
      <c r="P12" s="89">
        <f>IF(OR(ゲージわざ表[[#This Row],[タイプ]]=$V$2,ゲージわざ表[[#This Row],[タイプ]]=$W$2),ゲージわざ表[[#This Row],[DPS]]*タイプ一致係数,ゲージわざ表[[#This Row],[DPS]])</f>
        <v>29.629629629629999</v>
      </c>
      <c r="Q12" s="116">
        <f>IF(OR(ゲージわざ表[[#This Row],[タイプ]]=$V$2,ゲージわざ表[[#This Row],[タイプ]]=$W$2),ゲージわざ表[[#This Row],[威力_m]]*タイプ一致係数,ゲージわざ表[[#This Row],[威力_m]])</f>
        <v>80</v>
      </c>
      <c r="R12" s="91">
        <f>IF(OR(ゲージわざ表[[#This Row],[タイプ]]=$V$2,ゲージわざ表[[#This Row],[タイプ]]=$W$2),ゲージわざ表[[#This Row],[DPE]]*タイプ一致係数,ゲージわざ表[[#This Row],[DPE]])</f>
        <v>1.7777777777778001</v>
      </c>
    </row>
    <row r="13" spans="1:23" x14ac:dyDescent="0.45">
      <c r="A13" s="120" t="s">
        <v>216</v>
      </c>
      <c r="B13" s="120" t="s">
        <v>47</v>
      </c>
      <c r="C13" s="468">
        <v>100</v>
      </c>
      <c r="D13" s="91">
        <v>2.2999999999999998</v>
      </c>
      <c r="E13" s="89">
        <v>43.478260869564998</v>
      </c>
      <c r="F13" s="116">
        <v>1</v>
      </c>
      <c r="G13" s="91">
        <v>1</v>
      </c>
      <c r="H13" s="468">
        <v>100</v>
      </c>
      <c r="I13" s="116">
        <v>45</v>
      </c>
      <c r="J13" s="91">
        <v>2.2222222222222001</v>
      </c>
      <c r="K13" s="90" t="s">
        <v>1777</v>
      </c>
      <c r="L13" s="90">
        <v>2</v>
      </c>
      <c r="M13" s="90">
        <v>1</v>
      </c>
      <c r="N13" s="473" t="str">
        <f>IF(OR(ゲージわざ表[[#This Row],[タイプ]]=$V$2,ゲージわざ表[[#This Row],[タイプ]]=$W$2),"↑","")</f>
        <v/>
      </c>
      <c r="O13" s="116">
        <f>IF(OR(ゲージわざ表[[#This Row],[タイプ]]=$V$2,ゲージわざ表[[#This Row],[タイプ]]=$W$2),ゲージわざ表[[#This Row],[威力_g]]*タイプ一致係数,ゲージわざ表[[#This Row],[威力_g]])</f>
        <v>100</v>
      </c>
      <c r="P13" s="89">
        <f>IF(OR(ゲージわざ表[[#This Row],[タイプ]]=$V$2,ゲージわざ表[[#This Row],[タイプ]]=$W$2),ゲージわざ表[[#This Row],[DPS]]*タイプ一致係数,ゲージわざ表[[#This Row],[DPS]])</f>
        <v>43.478260869564998</v>
      </c>
      <c r="Q13" s="116">
        <f>IF(OR(ゲージわざ表[[#This Row],[タイプ]]=$V$2,ゲージわざ表[[#This Row],[タイプ]]=$W$2),ゲージわざ表[[#This Row],[威力_m]]*タイプ一致係数,ゲージわざ表[[#This Row],[威力_m]])</f>
        <v>100</v>
      </c>
      <c r="R13" s="91">
        <f>IF(OR(ゲージわざ表[[#This Row],[タイプ]]=$V$2,ゲージわざ表[[#This Row],[タイプ]]=$W$2),ゲージわざ表[[#This Row],[DPE]]*タイプ一致係数,ゲージわざ表[[#This Row],[DPE]])</f>
        <v>2.2222222222222001</v>
      </c>
    </row>
    <row r="14" spans="1:23" ht="16.5" customHeight="1" x14ac:dyDescent="0.45">
      <c r="A14" s="119" t="s">
        <v>1571</v>
      </c>
      <c r="B14" s="119" t="s">
        <v>43</v>
      </c>
      <c r="C14" s="468">
        <v>60</v>
      </c>
      <c r="D14" s="91">
        <v>1.6</v>
      </c>
      <c r="E14" s="89">
        <v>37.5</v>
      </c>
      <c r="F14" s="116">
        <v>3</v>
      </c>
      <c r="G14" s="91">
        <v>1.35</v>
      </c>
      <c r="H14" s="468">
        <v>60</v>
      </c>
      <c r="I14" s="116">
        <v>35</v>
      </c>
      <c r="J14" s="91">
        <v>1.7142857142857</v>
      </c>
      <c r="N14" s="473" t="str">
        <f>IF(OR(ゲージわざ表[[#This Row],[タイプ]]=$V$2,ゲージわざ表[[#This Row],[タイプ]]=$W$2),"↑","")</f>
        <v/>
      </c>
      <c r="O14" s="116">
        <f>IF(OR(ゲージわざ表[[#This Row],[タイプ]]=$V$2,ゲージわざ表[[#This Row],[タイプ]]=$W$2),ゲージわざ表[[#This Row],[威力_g]]*タイプ一致係数,ゲージわざ表[[#This Row],[威力_g]])</f>
        <v>60</v>
      </c>
      <c r="P14" s="89">
        <f>IF(OR(ゲージわざ表[[#This Row],[タイプ]]=$V$2,ゲージわざ表[[#This Row],[タイプ]]=$W$2),ゲージわざ表[[#This Row],[DPS]]*タイプ一致係数,ゲージわざ表[[#This Row],[DPS]])</f>
        <v>37.5</v>
      </c>
      <c r="Q14" s="116">
        <f>IF(OR(ゲージわざ表[[#This Row],[タイプ]]=$V$2,ゲージわざ表[[#This Row],[タイプ]]=$W$2),ゲージわざ表[[#This Row],[威力_m]]*タイプ一致係数,ゲージわざ表[[#This Row],[威力_m]])</f>
        <v>60</v>
      </c>
      <c r="R14" s="91">
        <f>IF(OR(ゲージわざ表[[#This Row],[タイプ]]=$V$2,ゲージわざ表[[#This Row],[タイプ]]=$W$2),ゲージわざ表[[#This Row],[DPE]]*タイプ一致係数,ゲージわざ表[[#This Row],[DPE]])</f>
        <v>1.7142857142857</v>
      </c>
    </row>
    <row r="15" spans="1:23" x14ac:dyDescent="0.45">
      <c r="A15" s="121" t="s">
        <v>1528</v>
      </c>
      <c r="B15" s="121" t="s">
        <v>62</v>
      </c>
      <c r="C15" s="468">
        <v>60</v>
      </c>
      <c r="D15" s="91">
        <v>1.6</v>
      </c>
      <c r="E15" s="89">
        <v>37.5</v>
      </c>
      <c r="F15" s="116">
        <v>3</v>
      </c>
      <c r="G15" s="91">
        <v>1.35</v>
      </c>
      <c r="H15" s="468">
        <v>60</v>
      </c>
      <c r="I15" s="116">
        <v>35</v>
      </c>
      <c r="J15" s="91">
        <v>1.7142857142857</v>
      </c>
      <c r="N15" s="473" t="str">
        <f>IF(OR(ゲージわざ表[[#This Row],[タイプ]]=$V$2,ゲージわざ表[[#This Row],[タイプ]]=$W$2),"↑","")</f>
        <v/>
      </c>
      <c r="O15" s="116">
        <f>IF(OR(ゲージわざ表[[#This Row],[タイプ]]=$V$2,ゲージわざ表[[#This Row],[タイプ]]=$W$2),ゲージわざ表[[#This Row],[威力_g]]*タイプ一致係数,ゲージわざ表[[#This Row],[威力_g]])</f>
        <v>60</v>
      </c>
      <c r="P15" s="89">
        <f>IF(OR(ゲージわざ表[[#This Row],[タイプ]]=$V$2,ゲージわざ表[[#This Row],[タイプ]]=$W$2),ゲージわざ表[[#This Row],[DPS]]*タイプ一致係数,ゲージわざ表[[#This Row],[DPS]])</f>
        <v>37.5</v>
      </c>
      <c r="Q15" s="116">
        <f>IF(OR(ゲージわざ表[[#This Row],[タイプ]]=$V$2,ゲージわざ表[[#This Row],[タイプ]]=$W$2),ゲージわざ表[[#This Row],[威力_m]]*タイプ一致係数,ゲージわざ表[[#This Row],[威力_m]])</f>
        <v>60</v>
      </c>
      <c r="R15" s="91">
        <f>IF(OR(ゲージわざ表[[#This Row],[タイプ]]=$V$2,ゲージわざ表[[#This Row],[タイプ]]=$W$2),ゲージわざ表[[#This Row],[DPE]]*タイプ一致係数,ゲージわざ表[[#This Row],[DPE]])</f>
        <v>1.7142857142857</v>
      </c>
    </row>
    <row r="16" spans="1:23" ht="16.5" customHeight="1" x14ac:dyDescent="0.45">
      <c r="A16" s="117" t="s">
        <v>1531</v>
      </c>
      <c r="B16" s="117" t="s">
        <v>68</v>
      </c>
      <c r="C16" s="468">
        <v>60</v>
      </c>
      <c r="D16" s="91">
        <v>1.6</v>
      </c>
      <c r="E16" s="89">
        <v>37.5</v>
      </c>
      <c r="F16" s="116">
        <v>3</v>
      </c>
      <c r="G16" s="91">
        <v>1.35</v>
      </c>
      <c r="H16" s="468">
        <v>60</v>
      </c>
      <c r="I16" s="116">
        <v>35</v>
      </c>
      <c r="J16" s="91">
        <v>1.7142857142857</v>
      </c>
      <c r="N16" s="473" t="str">
        <f>IF(OR(ゲージわざ表[[#This Row],[タイプ]]=$V$2,ゲージわざ表[[#This Row],[タイプ]]=$W$2),"↑","")</f>
        <v/>
      </c>
      <c r="O16" s="116">
        <f>IF(OR(ゲージわざ表[[#This Row],[タイプ]]=$V$2,ゲージわざ表[[#This Row],[タイプ]]=$W$2),ゲージわざ表[[#This Row],[威力_g]]*タイプ一致係数,ゲージわざ表[[#This Row],[威力_g]])</f>
        <v>60</v>
      </c>
      <c r="P16" s="89">
        <f>IF(OR(ゲージわざ表[[#This Row],[タイプ]]=$V$2,ゲージわざ表[[#This Row],[タイプ]]=$W$2),ゲージわざ表[[#This Row],[DPS]]*タイプ一致係数,ゲージわざ表[[#This Row],[DPS]])</f>
        <v>37.5</v>
      </c>
      <c r="Q16" s="116">
        <f>IF(OR(ゲージわざ表[[#This Row],[タイプ]]=$V$2,ゲージわざ表[[#This Row],[タイプ]]=$W$2),ゲージわざ表[[#This Row],[威力_m]]*タイプ一致係数,ゲージわざ表[[#This Row],[威力_m]])</f>
        <v>60</v>
      </c>
      <c r="R16" s="91">
        <f>IF(OR(ゲージわざ表[[#This Row],[タイプ]]=$V$2,ゲージわざ表[[#This Row],[タイプ]]=$W$2),ゲージわざ表[[#This Row],[DPE]]*タイプ一致係数,ゲージわざ表[[#This Row],[DPE]])</f>
        <v>1.7142857142857</v>
      </c>
    </row>
    <row r="17" spans="1:18" x14ac:dyDescent="0.45">
      <c r="A17" s="129" t="s">
        <v>137</v>
      </c>
      <c r="B17" s="129" t="s">
        <v>22</v>
      </c>
      <c r="C17" s="468">
        <v>60</v>
      </c>
      <c r="D17" s="91">
        <v>1.6</v>
      </c>
      <c r="E17" s="89">
        <v>37.5</v>
      </c>
      <c r="F17" s="116">
        <v>3</v>
      </c>
      <c r="G17" s="91">
        <v>1.35</v>
      </c>
      <c r="H17" s="468">
        <v>60</v>
      </c>
      <c r="I17" s="116">
        <v>35</v>
      </c>
      <c r="J17" s="91">
        <v>1.7142857142857</v>
      </c>
      <c r="N17" s="473" t="str">
        <f>IF(OR(ゲージわざ表[[#This Row],[タイプ]]=$V$2,ゲージわざ表[[#This Row],[タイプ]]=$W$2),"↑","")</f>
        <v/>
      </c>
      <c r="O17" s="116">
        <f>IF(OR(ゲージわざ表[[#This Row],[タイプ]]=$V$2,ゲージわざ表[[#This Row],[タイプ]]=$W$2),ゲージわざ表[[#This Row],[威力_g]]*タイプ一致係数,ゲージわざ表[[#This Row],[威力_g]])</f>
        <v>60</v>
      </c>
      <c r="P17" s="89">
        <f>IF(OR(ゲージわざ表[[#This Row],[タイプ]]=$V$2,ゲージわざ表[[#This Row],[タイプ]]=$W$2),ゲージわざ表[[#This Row],[DPS]]*タイプ一致係数,ゲージわざ表[[#This Row],[DPS]])</f>
        <v>37.5</v>
      </c>
      <c r="Q17" s="116">
        <f>IF(OR(ゲージわざ表[[#This Row],[タイプ]]=$V$2,ゲージわざ表[[#This Row],[タイプ]]=$W$2),ゲージわざ表[[#This Row],[威力_m]]*タイプ一致係数,ゲージわざ表[[#This Row],[威力_m]])</f>
        <v>60</v>
      </c>
      <c r="R17" s="91">
        <f>IF(OR(ゲージわざ表[[#This Row],[タイプ]]=$V$2,ゲージわざ表[[#This Row],[タイプ]]=$W$2),ゲージわざ表[[#This Row],[DPE]]*タイプ一致係数,ゲージわざ表[[#This Row],[DPE]])</f>
        <v>1.7142857142857</v>
      </c>
    </row>
    <row r="18" spans="1:18" ht="16.5" customHeight="1" x14ac:dyDescent="0.45">
      <c r="A18" s="128" t="s">
        <v>1529</v>
      </c>
      <c r="B18" s="128" t="s">
        <v>111</v>
      </c>
      <c r="C18" s="468">
        <v>60</v>
      </c>
      <c r="D18" s="91">
        <v>1.6</v>
      </c>
      <c r="E18" s="89">
        <v>37.5</v>
      </c>
      <c r="F18" s="116">
        <v>3</v>
      </c>
      <c r="G18" s="91">
        <v>1.35</v>
      </c>
      <c r="H18" s="468">
        <v>60</v>
      </c>
      <c r="I18" s="116">
        <v>35</v>
      </c>
      <c r="J18" s="91">
        <v>1.7142857142857</v>
      </c>
      <c r="N18" s="473" t="str">
        <f>IF(OR(ゲージわざ表[[#This Row],[タイプ]]=$V$2,ゲージわざ表[[#This Row],[タイプ]]=$W$2),"↑","")</f>
        <v/>
      </c>
      <c r="O18" s="116">
        <f>IF(OR(ゲージわざ表[[#This Row],[タイプ]]=$V$2,ゲージわざ表[[#This Row],[タイプ]]=$W$2),ゲージわざ表[[#This Row],[威力_g]]*タイプ一致係数,ゲージわざ表[[#This Row],[威力_g]])</f>
        <v>60</v>
      </c>
      <c r="P18" s="89">
        <f>IF(OR(ゲージわざ表[[#This Row],[タイプ]]=$V$2,ゲージわざ表[[#This Row],[タイプ]]=$W$2),ゲージわざ表[[#This Row],[DPS]]*タイプ一致係数,ゲージわざ表[[#This Row],[DPS]])</f>
        <v>37.5</v>
      </c>
      <c r="Q18" s="116">
        <f>IF(OR(ゲージわざ表[[#This Row],[タイプ]]=$V$2,ゲージわざ表[[#This Row],[タイプ]]=$W$2),ゲージわざ表[[#This Row],[威力_m]]*タイプ一致係数,ゲージわざ表[[#This Row],[威力_m]])</f>
        <v>60</v>
      </c>
      <c r="R18" s="91">
        <f>IF(OR(ゲージわざ表[[#This Row],[タイプ]]=$V$2,ゲージわざ表[[#This Row],[タイプ]]=$W$2),ゲージわざ表[[#This Row],[DPE]]*タイプ一致係数,ゲージわざ表[[#This Row],[DPE]])</f>
        <v>1.7142857142857</v>
      </c>
    </row>
    <row r="19" spans="1:18" x14ac:dyDescent="0.45">
      <c r="A19" s="131" t="s">
        <v>210</v>
      </c>
      <c r="B19" s="131" t="s">
        <v>72</v>
      </c>
      <c r="C19" s="468">
        <v>60</v>
      </c>
      <c r="D19" s="91">
        <v>2.7</v>
      </c>
      <c r="E19" s="89">
        <v>22.222222222222001</v>
      </c>
      <c r="F19" s="116">
        <v>2</v>
      </c>
      <c r="G19" s="91">
        <v>1.8</v>
      </c>
      <c r="H19" s="468">
        <v>60</v>
      </c>
      <c r="I19" s="116">
        <v>55</v>
      </c>
      <c r="J19" s="91">
        <v>1.0909090909090999</v>
      </c>
      <c r="N19" s="473" t="str">
        <f>IF(OR(ゲージわざ表[[#This Row],[タイプ]]=$V$2,ゲージわざ表[[#This Row],[タイプ]]=$W$2),"↑","")</f>
        <v/>
      </c>
      <c r="O19" s="116">
        <f>IF(OR(ゲージわざ表[[#This Row],[タイプ]]=$V$2,ゲージわざ表[[#This Row],[タイプ]]=$W$2),ゲージわざ表[[#This Row],[威力_g]]*タイプ一致係数,ゲージわざ表[[#This Row],[威力_g]])</f>
        <v>60</v>
      </c>
      <c r="P19" s="89">
        <f>IF(OR(ゲージわざ表[[#This Row],[タイプ]]=$V$2,ゲージわざ表[[#This Row],[タイプ]]=$W$2),ゲージわざ表[[#This Row],[DPS]]*タイプ一致係数,ゲージわざ表[[#This Row],[DPS]])</f>
        <v>22.222222222222001</v>
      </c>
      <c r="Q19" s="116">
        <f>IF(OR(ゲージわざ表[[#This Row],[タイプ]]=$V$2,ゲージわざ表[[#This Row],[タイプ]]=$W$2),ゲージわざ表[[#This Row],[威力_m]]*タイプ一致係数,ゲージわざ表[[#This Row],[威力_m]])</f>
        <v>60</v>
      </c>
      <c r="R19" s="91">
        <f>IF(OR(ゲージわざ表[[#This Row],[タイプ]]=$V$2,ゲージわざ表[[#This Row],[タイプ]]=$W$2),ゲージわざ表[[#This Row],[DPE]]*タイプ一致係数,ゲージわざ表[[#This Row],[DPE]])</f>
        <v>1.0909090909090999</v>
      </c>
    </row>
    <row r="20" spans="1:18" x14ac:dyDescent="0.45">
      <c r="A20" s="123" t="s">
        <v>33</v>
      </c>
      <c r="B20" s="123" t="s">
        <v>12</v>
      </c>
      <c r="C20" s="468">
        <v>90</v>
      </c>
      <c r="D20" s="91">
        <v>3.9</v>
      </c>
      <c r="E20" s="89">
        <v>23.076923076922998</v>
      </c>
      <c r="F20" s="116">
        <v>2</v>
      </c>
      <c r="G20" s="91">
        <v>3</v>
      </c>
      <c r="H20" s="468">
        <v>90</v>
      </c>
      <c r="I20" s="116">
        <v>60</v>
      </c>
      <c r="J20" s="91">
        <v>1.5</v>
      </c>
      <c r="N20" s="473" t="str">
        <f>IF(OR(ゲージわざ表[[#This Row],[タイプ]]=$V$2,ゲージわざ表[[#This Row],[タイプ]]=$W$2),"↑","")</f>
        <v/>
      </c>
      <c r="O20" s="116">
        <f>IF(OR(ゲージわざ表[[#This Row],[タイプ]]=$V$2,ゲージわざ表[[#This Row],[タイプ]]=$W$2),ゲージわざ表[[#This Row],[威力_g]]*タイプ一致係数,ゲージわざ表[[#This Row],[威力_g]])</f>
        <v>90</v>
      </c>
      <c r="P20" s="89">
        <f>IF(OR(ゲージわざ表[[#This Row],[タイプ]]=$V$2,ゲージわざ表[[#This Row],[タイプ]]=$W$2),ゲージわざ表[[#This Row],[DPS]]*タイプ一致係数,ゲージわざ表[[#This Row],[DPS]])</f>
        <v>23.076923076922998</v>
      </c>
      <c r="Q20" s="116">
        <f>IF(OR(ゲージわざ表[[#This Row],[タイプ]]=$V$2,ゲージわざ表[[#This Row],[タイプ]]=$W$2),ゲージわざ表[[#This Row],[威力_m]]*タイプ一致係数,ゲージわざ表[[#This Row],[威力_m]])</f>
        <v>90</v>
      </c>
      <c r="R20" s="91">
        <f>IF(OR(ゲージわざ表[[#This Row],[タイプ]]=$V$2,ゲージわざ表[[#This Row],[タイプ]]=$W$2),ゲージわざ表[[#This Row],[DPE]]*タイプ一致係数,ゲージわざ表[[#This Row],[DPE]])</f>
        <v>1.5</v>
      </c>
    </row>
    <row r="21" spans="1:18" ht="16.5" customHeight="1" x14ac:dyDescent="0.45">
      <c r="A21" s="129" t="s">
        <v>48</v>
      </c>
      <c r="B21" s="129" t="s">
        <v>22</v>
      </c>
      <c r="C21" s="468">
        <v>160</v>
      </c>
      <c r="D21" s="91">
        <v>4</v>
      </c>
      <c r="E21" s="89">
        <v>40</v>
      </c>
      <c r="F21" s="116">
        <v>1</v>
      </c>
      <c r="G21" s="91">
        <v>2.6</v>
      </c>
      <c r="H21" s="468">
        <v>130</v>
      </c>
      <c r="I21" s="116">
        <v>55</v>
      </c>
      <c r="J21" s="91">
        <v>2.3636363636364002</v>
      </c>
      <c r="K21" s="90" t="s">
        <v>1776</v>
      </c>
      <c r="L21" s="90">
        <v>2</v>
      </c>
      <c r="M21" s="90">
        <v>1</v>
      </c>
      <c r="N21" s="473" t="str">
        <f>IF(OR(ゲージわざ表[[#This Row],[タイプ]]=$V$2,ゲージわざ表[[#This Row],[タイプ]]=$W$2),"↑","")</f>
        <v/>
      </c>
      <c r="O21" s="116">
        <f>IF(OR(ゲージわざ表[[#This Row],[タイプ]]=$V$2,ゲージわざ表[[#This Row],[タイプ]]=$W$2),ゲージわざ表[[#This Row],[威力_g]]*タイプ一致係数,ゲージわざ表[[#This Row],[威力_g]])</f>
        <v>160</v>
      </c>
      <c r="P21" s="89">
        <f>IF(OR(ゲージわざ表[[#This Row],[タイプ]]=$V$2,ゲージわざ表[[#This Row],[タイプ]]=$W$2),ゲージわざ表[[#This Row],[DPS]]*タイプ一致係数,ゲージわざ表[[#This Row],[DPS]])</f>
        <v>40</v>
      </c>
      <c r="Q21" s="116">
        <f>IF(OR(ゲージわざ表[[#This Row],[タイプ]]=$V$2,ゲージわざ表[[#This Row],[タイプ]]=$W$2),ゲージわざ表[[#This Row],[威力_m]]*タイプ一致係数,ゲージわざ表[[#This Row],[威力_m]])</f>
        <v>130</v>
      </c>
      <c r="R21" s="91">
        <f>IF(OR(ゲージわざ表[[#This Row],[タイプ]]=$V$2,ゲージわざ表[[#This Row],[タイプ]]=$W$2),ゲージわざ表[[#This Row],[DPE]]*タイプ一致係数,ゲージわざ表[[#This Row],[DPE]])</f>
        <v>2.3636363636364002</v>
      </c>
    </row>
    <row r="22" spans="1:18" ht="16.5" customHeight="1" x14ac:dyDescent="0.45">
      <c r="A22" s="121" t="s">
        <v>108</v>
      </c>
      <c r="B22" s="121" t="s">
        <v>62</v>
      </c>
      <c r="C22" s="468">
        <v>80</v>
      </c>
      <c r="D22" s="91">
        <v>3.55</v>
      </c>
      <c r="E22" s="89">
        <v>22.535211267606002</v>
      </c>
      <c r="F22" s="116">
        <v>2</v>
      </c>
      <c r="G22" s="91">
        <v>3.35</v>
      </c>
      <c r="H22" s="468">
        <v>80</v>
      </c>
      <c r="I22" s="116">
        <v>60</v>
      </c>
      <c r="J22" s="91">
        <v>1.3333333333333</v>
      </c>
      <c r="N22" s="473" t="str">
        <f>IF(OR(ゲージわざ表[[#This Row],[タイプ]]=$V$2,ゲージわざ表[[#This Row],[タイプ]]=$W$2),"↑","")</f>
        <v/>
      </c>
      <c r="O22" s="116">
        <f>IF(OR(ゲージわざ表[[#This Row],[タイプ]]=$V$2,ゲージわざ表[[#This Row],[タイプ]]=$W$2),ゲージわざ表[[#This Row],[威力_g]]*タイプ一致係数,ゲージわざ表[[#This Row],[威力_g]])</f>
        <v>80</v>
      </c>
      <c r="P22" s="89">
        <f>IF(OR(ゲージわざ表[[#This Row],[タイプ]]=$V$2,ゲージわざ表[[#This Row],[タイプ]]=$W$2),ゲージわざ表[[#This Row],[DPS]]*タイプ一致係数,ゲージわざ表[[#This Row],[DPS]])</f>
        <v>22.535211267606002</v>
      </c>
      <c r="Q22" s="116">
        <f>IF(OR(ゲージわざ表[[#This Row],[タイプ]]=$V$2,ゲージわざ表[[#This Row],[タイプ]]=$W$2),ゲージわざ表[[#This Row],[威力_m]]*タイプ一致係数,ゲージわざ表[[#This Row],[威力_m]])</f>
        <v>80</v>
      </c>
      <c r="R22" s="91">
        <f>IF(OR(ゲージわざ表[[#This Row],[タイプ]]=$V$2,ゲージわざ表[[#This Row],[タイプ]]=$W$2),ゲージわざ表[[#This Row],[DPE]]*タイプ一致係数,ゲージわざ表[[#This Row],[DPE]])</f>
        <v>1.3333333333333</v>
      </c>
    </row>
    <row r="23" spans="1:18" ht="16.5" customHeight="1" x14ac:dyDescent="0.45">
      <c r="A23" s="128" t="s">
        <v>1778</v>
      </c>
      <c r="B23" s="128" t="s">
        <v>111</v>
      </c>
      <c r="C23" s="468">
        <v>50</v>
      </c>
      <c r="D23" s="91">
        <v>2.2999999999999998</v>
      </c>
      <c r="E23" s="89">
        <v>21.739130434783</v>
      </c>
      <c r="F23" s="116">
        <v>2</v>
      </c>
      <c r="G23" s="91">
        <v>1.3</v>
      </c>
      <c r="H23" s="468">
        <v>50</v>
      </c>
      <c r="I23" s="116">
        <v>50</v>
      </c>
      <c r="J23" s="91">
        <v>1</v>
      </c>
      <c r="K23" s="90" t="s">
        <v>1769</v>
      </c>
      <c r="L23" s="90">
        <v>1</v>
      </c>
      <c r="M23" s="90">
        <v>0.5</v>
      </c>
      <c r="N23" s="473" t="str">
        <f>IF(OR(ゲージわざ表[[#This Row],[タイプ]]=$V$2,ゲージわざ表[[#This Row],[タイプ]]=$W$2),"↑","")</f>
        <v/>
      </c>
      <c r="O23" s="116">
        <f>IF(OR(ゲージわざ表[[#This Row],[タイプ]]=$V$2,ゲージわざ表[[#This Row],[タイプ]]=$W$2),ゲージわざ表[[#This Row],[威力_g]]*タイプ一致係数,ゲージわざ表[[#This Row],[威力_g]])</f>
        <v>50</v>
      </c>
      <c r="P23" s="89">
        <f>IF(OR(ゲージわざ表[[#This Row],[タイプ]]=$V$2,ゲージわざ表[[#This Row],[タイプ]]=$W$2),ゲージわざ表[[#This Row],[DPS]]*タイプ一致係数,ゲージわざ表[[#This Row],[DPS]])</f>
        <v>21.739130434783</v>
      </c>
      <c r="Q23" s="116">
        <f>IF(OR(ゲージわざ表[[#This Row],[タイプ]]=$V$2,ゲージわざ表[[#This Row],[タイプ]]=$W$2),ゲージわざ表[[#This Row],[威力_m]]*タイプ一致係数,ゲージわざ表[[#This Row],[威力_m]])</f>
        <v>50</v>
      </c>
      <c r="R23" s="91">
        <f>IF(OR(ゲージわざ表[[#This Row],[タイプ]]=$V$2,ゲージわざ表[[#This Row],[タイプ]]=$W$2),ゲージわざ表[[#This Row],[DPE]]*タイプ一致係数,ゲージわざ表[[#This Row],[DPE]])</f>
        <v>1</v>
      </c>
    </row>
    <row r="24" spans="1:18" x14ac:dyDescent="0.45">
      <c r="A24" s="117" t="s">
        <v>52</v>
      </c>
      <c r="B24" s="117" t="s">
        <v>68</v>
      </c>
      <c r="C24" s="468">
        <v>35</v>
      </c>
      <c r="D24" s="91">
        <v>0.7</v>
      </c>
      <c r="E24" s="89">
        <v>50</v>
      </c>
      <c r="F24" s="116">
        <v>3</v>
      </c>
      <c r="G24" s="91">
        <v>0.1</v>
      </c>
      <c r="H24" s="468">
        <v>130</v>
      </c>
      <c r="I24" s="116">
        <v>70</v>
      </c>
      <c r="J24" s="91">
        <v>1.8571428571429001</v>
      </c>
      <c r="N24" s="473" t="str">
        <f>IF(OR(ゲージわざ表[[#This Row],[タイプ]]=$V$2,ゲージわざ表[[#This Row],[タイプ]]=$W$2),"↑","")</f>
        <v/>
      </c>
      <c r="O24" s="116">
        <f>IF(OR(ゲージわざ表[[#This Row],[タイプ]]=$V$2,ゲージわざ表[[#This Row],[タイプ]]=$W$2),ゲージわざ表[[#This Row],[威力_g]]*タイプ一致係数,ゲージわざ表[[#This Row],[威力_g]])</f>
        <v>35</v>
      </c>
      <c r="P24" s="89">
        <f>IF(OR(ゲージわざ表[[#This Row],[タイプ]]=$V$2,ゲージわざ表[[#This Row],[タイプ]]=$W$2),ゲージわざ表[[#This Row],[DPS]]*タイプ一致係数,ゲージわざ表[[#This Row],[DPS]])</f>
        <v>50</v>
      </c>
      <c r="Q24" s="116">
        <f>IF(OR(ゲージわざ表[[#This Row],[タイプ]]=$V$2,ゲージわざ表[[#This Row],[タイプ]]=$W$2),ゲージわざ表[[#This Row],[威力_m]]*タイプ一致係数,ゲージわざ表[[#This Row],[威力_m]])</f>
        <v>130</v>
      </c>
      <c r="R24" s="91">
        <f>IF(OR(ゲージわざ表[[#This Row],[タイプ]]=$V$2,ゲージわざ表[[#This Row],[タイプ]]=$W$2),ゲージわざ表[[#This Row],[DPE]]*タイプ一致係数,ゲージわざ表[[#This Row],[DPE]])</f>
        <v>1.8571428571429001</v>
      </c>
    </row>
    <row r="25" spans="1:18" ht="16.5" customHeight="1" x14ac:dyDescent="0.45">
      <c r="A25" s="129" t="s">
        <v>1525</v>
      </c>
      <c r="B25" s="129" t="s">
        <v>22</v>
      </c>
      <c r="C25" s="468">
        <v>60</v>
      </c>
      <c r="D25" s="91">
        <v>2.7</v>
      </c>
      <c r="E25" s="89">
        <v>22.222222222222001</v>
      </c>
      <c r="F25" s="116">
        <v>2</v>
      </c>
      <c r="G25" s="91">
        <v>2.1</v>
      </c>
      <c r="H25" s="468">
        <v>60</v>
      </c>
      <c r="I25" s="116">
        <v>55</v>
      </c>
      <c r="J25" s="91">
        <v>1.0909090909090999</v>
      </c>
      <c r="N25" s="473" t="str">
        <f>IF(OR(ゲージわざ表[[#This Row],[タイプ]]=$V$2,ゲージわざ表[[#This Row],[タイプ]]=$W$2),"↑","")</f>
        <v/>
      </c>
      <c r="O25" s="116">
        <f>IF(OR(ゲージわざ表[[#This Row],[タイプ]]=$V$2,ゲージわざ表[[#This Row],[タイプ]]=$W$2),ゲージわざ表[[#This Row],[威力_g]]*タイプ一致係数,ゲージわざ表[[#This Row],[威力_g]])</f>
        <v>60</v>
      </c>
      <c r="P25" s="89">
        <f>IF(OR(ゲージわざ表[[#This Row],[タイプ]]=$V$2,ゲージわざ表[[#This Row],[タイプ]]=$W$2),ゲージわざ表[[#This Row],[DPS]]*タイプ一致係数,ゲージわざ表[[#This Row],[DPS]])</f>
        <v>22.222222222222001</v>
      </c>
      <c r="Q25" s="116">
        <f>IF(OR(ゲージわざ表[[#This Row],[タイプ]]=$V$2,ゲージわざ表[[#This Row],[タイプ]]=$W$2),ゲージわざ表[[#This Row],[威力_m]]*タイプ一致係数,ゲージわざ表[[#This Row],[威力_m]])</f>
        <v>60</v>
      </c>
      <c r="R25" s="91">
        <f>IF(OR(ゲージわざ表[[#This Row],[タイプ]]=$V$2,ゲージわざ表[[#This Row],[タイプ]]=$W$2),ゲージわざ表[[#This Row],[DPE]]*タイプ一致係数,ゲージわざ表[[#This Row],[DPE]])</f>
        <v>1.0909090909090999</v>
      </c>
    </row>
    <row r="26" spans="1:18" x14ac:dyDescent="0.45">
      <c r="A26" s="129" t="s">
        <v>76</v>
      </c>
      <c r="B26" s="129" t="s">
        <v>22</v>
      </c>
      <c r="C26" s="468">
        <v>70</v>
      </c>
      <c r="D26" s="91">
        <v>2.2000000000000002</v>
      </c>
      <c r="E26" s="89">
        <v>31.818181818182001</v>
      </c>
      <c r="F26" s="116">
        <v>2</v>
      </c>
      <c r="G26" s="91">
        <v>1.5</v>
      </c>
      <c r="H26" s="468">
        <v>90</v>
      </c>
      <c r="I26" s="116">
        <v>55</v>
      </c>
      <c r="J26" s="91">
        <v>1.6363636363636</v>
      </c>
      <c r="N26" s="473" t="str">
        <f>IF(OR(ゲージわざ表[[#This Row],[タイプ]]=$V$2,ゲージわざ表[[#This Row],[タイプ]]=$W$2),"↑","")</f>
        <v/>
      </c>
      <c r="O26" s="116">
        <f>IF(OR(ゲージわざ表[[#This Row],[タイプ]]=$V$2,ゲージわざ表[[#This Row],[タイプ]]=$W$2),ゲージわざ表[[#This Row],[威力_g]]*タイプ一致係数,ゲージわざ表[[#This Row],[威力_g]])</f>
        <v>70</v>
      </c>
      <c r="P26" s="89">
        <f>IF(OR(ゲージわざ表[[#This Row],[タイプ]]=$V$2,ゲージわざ表[[#This Row],[タイプ]]=$W$2),ゲージわざ表[[#This Row],[DPS]]*タイプ一致係数,ゲージわざ表[[#This Row],[DPS]])</f>
        <v>31.818181818182001</v>
      </c>
      <c r="Q26" s="116">
        <f>IF(OR(ゲージわざ表[[#This Row],[タイプ]]=$V$2,ゲージわざ表[[#This Row],[タイプ]]=$W$2),ゲージわざ表[[#This Row],[威力_m]]*タイプ一致係数,ゲージわざ表[[#This Row],[威力_m]])</f>
        <v>90</v>
      </c>
      <c r="R26" s="91">
        <f>IF(OR(ゲージわざ表[[#This Row],[タイプ]]=$V$2,ゲージわざ表[[#This Row],[タイプ]]=$W$2),ゲージわざ表[[#This Row],[DPE]]*タイプ一致係数,ゲージわざ表[[#This Row],[DPE]])</f>
        <v>1.6363636363636</v>
      </c>
    </row>
    <row r="27" spans="1:18" x14ac:dyDescent="0.45">
      <c r="A27" s="133" t="s">
        <v>151</v>
      </c>
      <c r="B27" s="133" t="s">
        <v>16</v>
      </c>
      <c r="C27" s="468">
        <v>50</v>
      </c>
      <c r="D27" s="91">
        <v>2.9</v>
      </c>
      <c r="E27" s="89">
        <v>17.241379310345</v>
      </c>
      <c r="F27" s="116">
        <v>3</v>
      </c>
      <c r="G27" s="91">
        <v>2.2000000000000002</v>
      </c>
      <c r="H27" s="468">
        <v>50</v>
      </c>
      <c r="I27" s="116">
        <v>45</v>
      </c>
      <c r="J27" s="91">
        <v>1.1111111111111001</v>
      </c>
      <c r="N27" s="473" t="str">
        <f>IF(OR(ゲージわざ表[[#This Row],[タイプ]]=$V$2,ゲージわざ表[[#This Row],[タイプ]]=$W$2),"↑","")</f>
        <v/>
      </c>
      <c r="O27" s="116">
        <f>IF(OR(ゲージわざ表[[#This Row],[タイプ]]=$V$2,ゲージわざ表[[#This Row],[タイプ]]=$W$2),ゲージわざ表[[#This Row],[威力_g]]*タイプ一致係数,ゲージわざ表[[#This Row],[威力_g]])</f>
        <v>50</v>
      </c>
      <c r="P27" s="89">
        <f>IF(OR(ゲージわざ表[[#This Row],[タイプ]]=$V$2,ゲージわざ表[[#This Row],[タイプ]]=$W$2),ゲージわざ表[[#This Row],[DPS]]*タイプ一致係数,ゲージわざ表[[#This Row],[DPS]])</f>
        <v>17.241379310345</v>
      </c>
      <c r="Q27" s="116">
        <f>IF(OR(ゲージわざ表[[#This Row],[タイプ]]=$V$2,ゲージわざ表[[#This Row],[タイプ]]=$W$2),ゲージわざ表[[#This Row],[威力_m]]*タイプ一致係数,ゲージわざ表[[#This Row],[威力_m]])</f>
        <v>50</v>
      </c>
      <c r="R27" s="91">
        <f>IF(OR(ゲージわざ表[[#This Row],[タイプ]]=$V$2,ゲージわざ表[[#This Row],[タイプ]]=$W$2),ゲージわざ表[[#This Row],[DPE]]*タイプ一致係数,ゲージわざ表[[#This Row],[DPE]])</f>
        <v>1.1111111111111001</v>
      </c>
    </row>
    <row r="28" spans="1:18" x14ac:dyDescent="0.45">
      <c r="A28" s="134" t="s">
        <v>91</v>
      </c>
      <c r="B28" s="134" t="s">
        <v>78</v>
      </c>
      <c r="C28" s="468">
        <v>70</v>
      </c>
      <c r="D28" s="91">
        <v>3.2</v>
      </c>
      <c r="E28" s="89">
        <v>21.875</v>
      </c>
      <c r="F28" s="116">
        <v>3</v>
      </c>
      <c r="G28" s="91">
        <v>1.3</v>
      </c>
      <c r="H28" s="468">
        <v>70</v>
      </c>
      <c r="I28" s="116">
        <v>45</v>
      </c>
      <c r="J28" s="91">
        <v>1.5555555555556</v>
      </c>
      <c r="N28" s="473" t="str">
        <f>IF(OR(ゲージわざ表[[#This Row],[タイプ]]=$V$2,ゲージわざ表[[#This Row],[タイプ]]=$W$2),"↑","")</f>
        <v/>
      </c>
      <c r="O28" s="116">
        <f>IF(OR(ゲージわざ表[[#This Row],[タイプ]]=$V$2,ゲージわざ表[[#This Row],[タイプ]]=$W$2),ゲージわざ表[[#This Row],[威力_g]]*タイプ一致係数,ゲージわざ表[[#This Row],[威力_g]])</f>
        <v>70</v>
      </c>
      <c r="P28" s="89">
        <f>IF(OR(ゲージわざ表[[#This Row],[タイプ]]=$V$2,ゲージわざ表[[#This Row],[タイプ]]=$W$2),ゲージわざ表[[#This Row],[DPS]]*タイプ一致係数,ゲージわざ表[[#This Row],[DPS]])</f>
        <v>21.875</v>
      </c>
      <c r="Q28" s="116">
        <f>IF(OR(ゲージわざ表[[#This Row],[タイプ]]=$V$2,ゲージわざ表[[#This Row],[タイプ]]=$W$2),ゲージわざ表[[#This Row],[威力_m]]*タイプ一致係数,ゲージわざ表[[#This Row],[威力_m]])</f>
        <v>70</v>
      </c>
      <c r="R28" s="91">
        <f>IF(OR(ゲージわざ表[[#This Row],[タイプ]]=$V$2,ゲージわざ表[[#This Row],[タイプ]]=$W$2),ゲージわざ表[[#This Row],[DPE]]*タイプ一致係数,ゲージわざ表[[#This Row],[DPE]])</f>
        <v>1.5555555555556</v>
      </c>
    </row>
    <row r="29" spans="1:18" x14ac:dyDescent="0.45">
      <c r="A29" s="118" t="s">
        <v>222</v>
      </c>
      <c r="B29" s="118" t="s">
        <v>8</v>
      </c>
      <c r="C29" s="468">
        <v>100</v>
      </c>
      <c r="D29" s="91">
        <v>2.4</v>
      </c>
      <c r="E29" s="89">
        <v>41.666666666666998</v>
      </c>
      <c r="F29" s="116">
        <v>1</v>
      </c>
      <c r="G29" s="91">
        <v>1.2</v>
      </c>
      <c r="H29" s="468">
        <v>100</v>
      </c>
      <c r="I29" s="116">
        <v>60</v>
      </c>
      <c r="J29" s="91">
        <v>1.6666666666667</v>
      </c>
      <c r="N29" s="473" t="str">
        <f>IF(OR(ゲージわざ表[[#This Row],[タイプ]]=$V$2,ゲージわざ表[[#This Row],[タイプ]]=$W$2),"↑","")</f>
        <v/>
      </c>
      <c r="O29" s="116">
        <f>IF(OR(ゲージわざ表[[#This Row],[タイプ]]=$V$2,ゲージわざ表[[#This Row],[タイプ]]=$W$2),ゲージわざ表[[#This Row],[威力_g]]*タイプ一致係数,ゲージわざ表[[#This Row],[威力_g]])</f>
        <v>100</v>
      </c>
      <c r="P29" s="89">
        <f>IF(OR(ゲージわざ表[[#This Row],[タイプ]]=$V$2,ゲージわざ表[[#This Row],[タイプ]]=$W$2),ゲージわざ表[[#This Row],[DPS]]*タイプ一致係数,ゲージわざ表[[#This Row],[DPS]])</f>
        <v>41.666666666666998</v>
      </c>
      <c r="Q29" s="116">
        <f>IF(OR(ゲージわざ表[[#This Row],[タイプ]]=$V$2,ゲージわざ表[[#This Row],[タイプ]]=$W$2),ゲージわざ表[[#This Row],[威力_m]]*タイプ一致係数,ゲージわざ表[[#This Row],[威力_m]])</f>
        <v>100</v>
      </c>
      <c r="R29" s="91">
        <f>IF(OR(ゲージわざ表[[#This Row],[タイプ]]=$V$2,ゲージわざ表[[#This Row],[タイプ]]=$W$2),ゲージわざ表[[#This Row],[DPE]]*タイプ一致係数,ゲージわざ表[[#This Row],[DPE]])</f>
        <v>1.6666666666667</v>
      </c>
    </row>
    <row r="30" spans="1:18" x14ac:dyDescent="0.45">
      <c r="A30" s="118" t="s">
        <v>5</v>
      </c>
      <c r="B30" s="118" t="s">
        <v>8</v>
      </c>
      <c r="C30" s="468">
        <v>45</v>
      </c>
      <c r="D30" s="91">
        <v>1.8</v>
      </c>
      <c r="E30" s="89">
        <v>25</v>
      </c>
      <c r="F30" s="116">
        <v>3</v>
      </c>
      <c r="G30" s="91">
        <v>1.7</v>
      </c>
      <c r="H30" s="468">
        <v>55</v>
      </c>
      <c r="I30" s="116">
        <v>40</v>
      </c>
      <c r="J30" s="91">
        <v>1.375</v>
      </c>
      <c r="N30" s="473" t="str">
        <f>IF(OR(ゲージわざ表[[#This Row],[タイプ]]=$V$2,ゲージわざ表[[#This Row],[タイプ]]=$W$2),"↑","")</f>
        <v/>
      </c>
      <c r="O30" s="116">
        <f>IF(OR(ゲージわざ表[[#This Row],[タイプ]]=$V$2,ゲージわざ表[[#This Row],[タイプ]]=$W$2),ゲージわざ表[[#This Row],[威力_g]]*タイプ一致係数,ゲージわざ表[[#This Row],[威力_g]])</f>
        <v>45</v>
      </c>
      <c r="P30" s="89">
        <f>IF(OR(ゲージわざ表[[#This Row],[タイプ]]=$V$2,ゲージわざ表[[#This Row],[タイプ]]=$W$2),ゲージわざ表[[#This Row],[DPS]]*タイプ一致係数,ゲージわざ表[[#This Row],[DPS]])</f>
        <v>25</v>
      </c>
      <c r="Q30" s="116">
        <f>IF(OR(ゲージわざ表[[#This Row],[タイプ]]=$V$2,ゲージわざ表[[#This Row],[タイプ]]=$W$2),ゲージわざ表[[#This Row],[威力_m]]*タイプ一致係数,ゲージわざ表[[#This Row],[威力_m]])</f>
        <v>55</v>
      </c>
      <c r="R30" s="91">
        <f>IF(OR(ゲージわざ表[[#This Row],[タイプ]]=$V$2,ゲージわざ表[[#This Row],[タイプ]]=$W$2),ゲージわざ表[[#This Row],[DPE]]*タイプ一致係数,ゲージわざ表[[#This Row],[DPE]])</f>
        <v>1.375</v>
      </c>
    </row>
    <row r="31" spans="1:18" ht="16.5" customHeight="1" x14ac:dyDescent="0.45">
      <c r="A31" s="120" t="s">
        <v>106</v>
      </c>
      <c r="B31" s="120" t="s">
        <v>47</v>
      </c>
      <c r="C31" s="468">
        <v>40</v>
      </c>
      <c r="D31" s="91">
        <v>1.6</v>
      </c>
      <c r="E31" s="89">
        <v>25</v>
      </c>
      <c r="F31" s="116">
        <v>3</v>
      </c>
      <c r="G31" s="91">
        <v>0.8</v>
      </c>
      <c r="H31" s="468">
        <v>40</v>
      </c>
      <c r="I31" s="116">
        <v>35</v>
      </c>
      <c r="J31" s="91">
        <v>1.1428571428570999</v>
      </c>
      <c r="N31" s="473" t="str">
        <f>IF(OR(ゲージわざ表[[#This Row],[タイプ]]=$V$2,ゲージわざ表[[#This Row],[タイプ]]=$W$2),"↑","")</f>
        <v/>
      </c>
      <c r="O31" s="116">
        <f>IF(OR(ゲージわざ表[[#This Row],[タイプ]]=$V$2,ゲージわざ表[[#This Row],[タイプ]]=$W$2),ゲージわざ表[[#This Row],[威力_g]]*タイプ一致係数,ゲージわざ表[[#This Row],[威力_g]])</f>
        <v>40</v>
      </c>
      <c r="P31" s="89">
        <f>IF(OR(ゲージわざ表[[#This Row],[タイプ]]=$V$2,ゲージわざ表[[#This Row],[タイプ]]=$W$2),ゲージわざ表[[#This Row],[DPS]]*タイプ一致係数,ゲージわざ表[[#This Row],[DPS]])</f>
        <v>25</v>
      </c>
      <c r="Q31" s="116">
        <f>IF(OR(ゲージわざ表[[#This Row],[タイプ]]=$V$2,ゲージわざ表[[#This Row],[タイプ]]=$W$2),ゲージわざ表[[#This Row],[威力_m]]*タイプ一致係数,ゲージわざ表[[#This Row],[威力_m]])</f>
        <v>40</v>
      </c>
      <c r="R31" s="91">
        <f>IF(OR(ゲージわざ表[[#This Row],[タイプ]]=$V$2,ゲージわざ表[[#This Row],[タイプ]]=$W$2),ゲージわざ表[[#This Row],[DPE]]*タイプ一致係数,ゲージわざ表[[#This Row],[DPE]])</f>
        <v>1.1428571428570999</v>
      </c>
    </row>
    <row r="32" spans="1:18" x14ac:dyDescent="0.45">
      <c r="A32" s="119" t="s">
        <v>1488</v>
      </c>
      <c r="B32" s="119" t="s">
        <v>43</v>
      </c>
      <c r="C32" s="468">
        <v>70</v>
      </c>
      <c r="D32" s="91">
        <v>3.2</v>
      </c>
      <c r="E32" s="89">
        <v>21.875</v>
      </c>
      <c r="F32" s="116">
        <v>2</v>
      </c>
      <c r="G32" s="91">
        <v>2.25</v>
      </c>
      <c r="H32" s="468">
        <v>70</v>
      </c>
      <c r="I32" s="116">
        <v>60</v>
      </c>
      <c r="J32" s="91">
        <v>1.1666666666667</v>
      </c>
      <c r="N32" s="473" t="str">
        <f>IF(OR(ゲージわざ表[[#This Row],[タイプ]]=$V$2,ゲージわざ表[[#This Row],[タイプ]]=$W$2),"↑","")</f>
        <v/>
      </c>
      <c r="O32" s="116">
        <f>IF(OR(ゲージわざ表[[#This Row],[タイプ]]=$V$2,ゲージわざ表[[#This Row],[タイプ]]=$W$2),ゲージわざ表[[#This Row],[威力_g]]*タイプ一致係数,ゲージわざ表[[#This Row],[威力_g]])</f>
        <v>70</v>
      </c>
      <c r="P32" s="89">
        <f>IF(OR(ゲージわざ表[[#This Row],[タイプ]]=$V$2,ゲージわざ表[[#This Row],[タイプ]]=$W$2),ゲージわざ表[[#This Row],[DPS]]*タイプ一致係数,ゲージわざ表[[#This Row],[DPS]])</f>
        <v>21.875</v>
      </c>
      <c r="Q32" s="116">
        <f>IF(OR(ゲージわざ表[[#This Row],[タイプ]]=$V$2,ゲージわざ表[[#This Row],[タイプ]]=$W$2),ゲージわざ表[[#This Row],[威力_m]]*タイプ一致係数,ゲージわざ表[[#This Row],[威力_m]])</f>
        <v>70</v>
      </c>
      <c r="R32" s="91">
        <f>IF(OR(ゲージわざ表[[#This Row],[タイプ]]=$V$2,ゲージわざ表[[#This Row],[タイプ]]=$W$2),ゲージわざ表[[#This Row],[DPE]]*タイプ一致係数,ゲージわざ表[[#This Row],[DPE]])</f>
        <v>1.1666666666667</v>
      </c>
    </row>
    <row r="33" spans="1:18" x14ac:dyDescent="0.45">
      <c r="A33" s="120" t="s">
        <v>187</v>
      </c>
      <c r="B33" s="120" t="s">
        <v>47</v>
      </c>
      <c r="C33" s="468">
        <v>140</v>
      </c>
      <c r="D33" s="91">
        <v>3.5</v>
      </c>
      <c r="E33" s="89">
        <v>40</v>
      </c>
      <c r="F33" s="116">
        <v>1</v>
      </c>
      <c r="G33" s="91">
        <v>3</v>
      </c>
      <c r="H33" s="468">
        <v>150</v>
      </c>
      <c r="I33" s="116">
        <v>75</v>
      </c>
      <c r="J33" s="91">
        <v>2</v>
      </c>
      <c r="N33" s="473" t="str">
        <f>IF(OR(ゲージわざ表[[#This Row],[タイプ]]=$V$2,ゲージわざ表[[#This Row],[タイプ]]=$W$2),"↑","")</f>
        <v/>
      </c>
      <c r="O33" s="116">
        <f>IF(OR(ゲージわざ表[[#This Row],[タイプ]]=$V$2,ゲージわざ表[[#This Row],[タイプ]]=$W$2),ゲージわざ表[[#This Row],[威力_g]]*タイプ一致係数,ゲージわざ表[[#This Row],[威力_g]])</f>
        <v>140</v>
      </c>
      <c r="P33" s="89">
        <f>IF(OR(ゲージわざ表[[#This Row],[タイプ]]=$V$2,ゲージわざ表[[#This Row],[タイプ]]=$W$2),ゲージわざ表[[#This Row],[DPS]]*タイプ一致係数,ゲージわざ表[[#This Row],[DPS]])</f>
        <v>40</v>
      </c>
      <c r="Q33" s="116">
        <f>IF(OR(ゲージわざ表[[#This Row],[タイプ]]=$V$2,ゲージわざ表[[#This Row],[タイプ]]=$W$2),ゲージわざ表[[#This Row],[威力_m]]*タイプ一致係数,ゲージわざ表[[#This Row],[威力_m]])</f>
        <v>150</v>
      </c>
      <c r="R33" s="91">
        <f>IF(OR(ゲージわざ表[[#This Row],[タイプ]]=$V$2,ゲージわざ表[[#This Row],[タイプ]]=$W$2),ゲージわざ表[[#This Row],[DPE]]*タイプ一致係数,ゲージわざ表[[#This Row],[DPE]])</f>
        <v>2</v>
      </c>
    </row>
    <row r="34" spans="1:18" x14ac:dyDescent="0.45">
      <c r="A34" s="117" t="s">
        <v>1498</v>
      </c>
      <c r="B34" s="117" t="s">
        <v>68</v>
      </c>
      <c r="C34" s="468">
        <v>200</v>
      </c>
      <c r="D34" s="91">
        <v>4.7</v>
      </c>
      <c r="E34" s="89">
        <v>42.553191489362</v>
      </c>
      <c r="F34" s="116">
        <v>1</v>
      </c>
      <c r="G34" s="91">
        <v>1</v>
      </c>
      <c r="H34" s="468">
        <v>150</v>
      </c>
      <c r="I34" s="116">
        <v>80</v>
      </c>
      <c r="J34" s="91">
        <v>1.875</v>
      </c>
      <c r="N34" s="473" t="str">
        <f>IF(OR(ゲージわざ表[[#This Row],[タイプ]]=$V$2,ゲージわざ表[[#This Row],[タイプ]]=$W$2),"↑","")</f>
        <v/>
      </c>
      <c r="O34" s="116">
        <f>IF(OR(ゲージわざ表[[#This Row],[タイプ]]=$V$2,ゲージわざ表[[#This Row],[タイプ]]=$W$2),ゲージわざ表[[#This Row],[威力_g]]*タイプ一致係数,ゲージわざ表[[#This Row],[威力_g]])</f>
        <v>200</v>
      </c>
      <c r="P34" s="89">
        <f>IF(OR(ゲージわざ表[[#This Row],[タイプ]]=$V$2,ゲージわざ表[[#This Row],[タイプ]]=$W$2),ゲージわざ表[[#This Row],[DPS]]*タイプ一致係数,ゲージわざ表[[#This Row],[DPS]])</f>
        <v>42.553191489362</v>
      </c>
      <c r="Q34" s="116">
        <f>IF(OR(ゲージわざ表[[#This Row],[タイプ]]=$V$2,ゲージわざ表[[#This Row],[タイプ]]=$W$2),ゲージわざ表[[#This Row],[威力_m]]*タイプ一致係数,ゲージわざ表[[#This Row],[威力_m]])</f>
        <v>150</v>
      </c>
      <c r="R34" s="91">
        <f>IF(OR(ゲージわざ表[[#This Row],[タイプ]]=$V$2,ゲージわざ表[[#This Row],[タイプ]]=$W$2),ゲージわざ表[[#This Row],[DPE]]*タイプ一致係数,ゲージわざ表[[#This Row],[DPE]])</f>
        <v>1.875</v>
      </c>
    </row>
    <row r="35" spans="1:18" ht="16.5" customHeight="1" x14ac:dyDescent="0.45">
      <c r="A35" s="123" t="s">
        <v>3768</v>
      </c>
      <c r="B35" s="123" t="s">
        <v>12</v>
      </c>
      <c r="C35" s="468">
        <v>0</v>
      </c>
      <c r="D35" s="91">
        <v>0</v>
      </c>
      <c r="G35" s="91">
        <v>0</v>
      </c>
      <c r="H35" s="468">
        <v>50</v>
      </c>
      <c r="I35" s="116">
        <v>80</v>
      </c>
      <c r="J35" s="91">
        <v>0.625</v>
      </c>
      <c r="N35" s="473" t="str">
        <f>IF(OR(ゲージわざ表[[#This Row],[タイプ]]=$V$2,ゲージわざ表[[#This Row],[タイプ]]=$W$2),"↑","")</f>
        <v/>
      </c>
      <c r="O35" s="90">
        <f>IF(OR(ゲージわざ表[[#This Row],[タイプ]]=$V$2,ゲージわざ表[[#This Row],[タイプ]]=$W$2),ゲージわざ表[[#This Row],[威力_g]]*タイプ一致係数,ゲージわざ表[[#This Row],[威力_g]])</f>
        <v>0</v>
      </c>
      <c r="P35" s="89">
        <f>IF(OR(ゲージわざ表[[#This Row],[タイプ]]=$V$2,ゲージわざ表[[#This Row],[タイプ]]=$W$2),ゲージわざ表[[#This Row],[DPS]]*タイプ一致係数,ゲージわざ表[[#This Row],[DPS]])</f>
        <v>0</v>
      </c>
      <c r="Q35" s="90">
        <f>IF(OR(ゲージわざ表[[#This Row],[タイプ]]=$V$2,ゲージわざ表[[#This Row],[タイプ]]=$W$2),ゲージわざ表[[#This Row],[威力_m]]*タイプ一致係数,ゲージわざ表[[#This Row],[威力_m]])</f>
        <v>50</v>
      </c>
      <c r="R35" s="91">
        <f>IF(OR(ゲージわざ表[[#This Row],[タイプ]]=$V$2,ゲージわざ表[[#This Row],[タイプ]]=$W$2),ゲージわざ表[[#This Row],[DPE]]*タイプ一致係数,ゲージわざ表[[#This Row],[DPE]])</f>
        <v>0.625</v>
      </c>
    </row>
    <row r="36" spans="1:18" x14ac:dyDescent="0.45">
      <c r="A36" s="125" t="s">
        <v>1509</v>
      </c>
      <c r="B36" s="125" t="s">
        <v>29</v>
      </c>
      <c r="C36" s="468">
        <v>70</v>
      </c>
      <c r="D36" s="91">
        <v>3.7</v>
      </c>
      <c r="E36" s="89">
        <v>18.918918918919001</v>
      </c>
      <c r="F36" s="116">
        <v>3</v>
      </c>
      <c r="G36" s="91">
        <v>1.7</v>
      </c>
      <c r="H36" s="468">
        <v>70</v>
      </c>
      <c r="I36" s="116">
        <v>45</v>
      </c>
      <c r="J36" s="91">
        <v>1.5555555555556</v>
      </c>
      <c r="K36" s="90" t="s">
        <v>1768</v>
      </c>
      <c r="L36" s="90">
        <v>2</v>
      </c>
      <c r="M36" s="90">
        <v>0.1</v>
      </c>
      <c r="N36" s="473" t="str">
        <f>IF(OR(ゲージわざ表[[#This Row],[タイプ]]=$V$2,ゲージわざ表[[#This Row],[タイプ]]=$W$2),"↑","")</f>
        <v/>
      </c>
      <c r="O36" s="116">
        <f>IF(OR(ゲージわざ表[[#This Row],[タイプ]]=$V$2,ゲージわざ表[[#This Row],[タイプ]]=$W$2),ゲージわざ表[[#This Row],[威力_g]]*タイプ一致係数,ゲージわざ表[[#This Row],[威力_g]])</f>
        <v>70</v>
      </c>
      <c r="P36" s="89">
        <f>IF(OR(ゲージわざ表[[#This Row],[タイプ]]=$V$2,ゲージわざ表[[#This Row],[タイプ]]=$W$2),ゲージわざ表[[#This Row],[DPS]]*タイプ一致係数,ゲージわざ表[[#This Row],[DPS]])</f>
        <v>18.918918918919001</v>
      </c>
      <c r="Q36" s="116">
        <f>IF(OR(ゲージわざ表[[#This Row],[タイプ]]=$V$2,ゲージわざ表[[#This Row],[タイプ]]=$W$2),ゲージわざ表[[#This Row],[威力_m]]*タイプ一致係数,ゲージわざ表[[#This Row],[威力_m]])</f>
        <v>70</v>
      </c>
      <c r="R36" s="91">
        <f>IF(OR(ゲージわざ表[[#This Row],[タイプ]]=$V$2,ゲージわざ表[[#This Row],[タイプ]]=$W$2),ゲージわざ表[[#This Row],[DPE]]*タイプ一致係数,ゲージわざ表[[#This Row],[DPE]])</f>
        <v>1.5555555555556</v>
      </c>
    </row>
    <row r="37" spans="1:18" x14ac:dyDescent="0.45">
      <c r="A37" s="123" t="s">
        <v>23</v>
      </c>
      <c r="B37" s="123" t="s">
        <v>12</v>
      </c>
      <c r="C37" s="468">
        <v>90</v>
      </c>
      <c r="D37" s="91">
        <v>2.6</v>
      </c>
      <c r="E37" s="89">
        <v>34.615384615384997</v>
      </c>
      <c r="F37" s="116">
        <v>2</v>
      </c>
      <c r="G37" s="91">
        <v>1.7</v>
      </c>
      <c r="H37" s="468">
        <v>90</v>
      </c>
      <c r="I37" s="116">
        <v>50</v>
      </c>
      <c r="J37" s="91">
        <v>1.8</v>
      </c>
      <c r="N37" s="473" t="str">
        <f>IF(OR(ゲージわざ表[[#This Row],[タイプ]]=$V$2,ゲージわざ表[[#This Row],[タイプ]]=$W$2),"↑","")</f>
        <v/>
      </c>
      <c r="O37" s="116">
        <f>IF(OR(ゲージわざ表[[#This Row],[タイプ]]=$V$2,ゲージわざ表[[#This Row],[タイプ]]=$W$2),ゲージわざ表[[#This Row],[威力_g]]*タイプ一致係数,ゲージわざ表[[#This Row],[威力_g]])</f>
        <v>90</v>
      </c>
      <c r="P37" s="89">
        <f>IF(OR(ゲージわざ表[[#This Row],[タイプ]]=$V$2,ゲージわざ表[[#This Row],[タイプ]]=$W$2),ゲージわざ表[[#This Row],[DPS]]*タイプ一致係数,ゲージわざ表[[#This Row],[DPS]])</f>
        <v>34.615384615384997</v>
      </c>
      <c r="Q37" s="116">
        <f>IF(OR(ゲージわざ表[[#This Row],[タイプ]]=$V$2,ゲージわざ表[[#This Row],[タイプ]]=$W$2),ゲージわざ表[[#This Row],[威力_m]]*タイプ一致係数,ゲージわざ表[[#This Row],[威力_m]])</f>
        <v>90</v>
      </c>
      <c r="R37" s="91">
        <f>IF(OR(ゲージわざ表[[#This Row],[タイプ]]=$V$2,ゲージわざ表[[#This Row],[タイプ]]=$W$2),ゲージわざ表[[#This Row],[DPE]]*タイプ一致係数,ゲージわざ表[[#This Row],[DPE]])</f>
        <v>1.8</v>
      </c>
    </row>
    <row r="38" spans="1:18" ht="16.5" customHeight="1" x14ac:dyDescent="0.45">
      <c r="A38" s="123" t="s">
        <v>1494</v>
      </c>
      <c r="B38" s="123" t="s">
        <v>12</v>
      </c>
      <c r="C38" s="468">
        <v>45</v>
      </c>
      <c r="D38" s="91">
        <v>3.1</v>
      </c>
      <c r="E38" s="89">
        <v>14.516129032258</v>
      </c>
      <c r="F38" s="116">
        <v>3</v>
      </c>
      <c r="G38" s="91">
        <v>2</v>
      </c>
      <c r="H38" s="468">
        <v>45</v>
      </c>
      <c r="I38" s="116">
        <v>40</v>
      </c>
      <c r="J38" s="91">
        <v>1.125</v>
      </c>
      <c r="K38" s="90" t="s">
        <v>1769</v>
      </c>
      <c r="L38" s="90">
        <v>1</v>
      </c>
      <c r="M38" s="90">
        <v>0.5</v>
      </c>
      <c r="N38" s="473" t="str">
        <f>IF(OR(ゲージわざ表[[#This Row],[タイプ]]=$V$2,ゲージわざ表[[#This Row],[タイプ]]=$W$2),"↑","")</f>
        <v/>
      </c>
      <c r="O38" s="116">
        <f>IF(OR(ゲージわざ表[[#This Row],[タイプ]]=$V$2,ゲージわざ表[[#This Row],[タイプ]]=$W$2),ゲージわざ表[[#This Row],[威力_g]]*タイプ一致係数,ゲージわざ表[[#This Row],[威力_g]])</f>
        <v>45</v>
      </c>
      <c r="P38" s="89">
        <f>IF(OR(ゲージわざ表[[#This Row],[タイプ]]=$V$2,ゲージわざ表[[#This Row],[タイプ]]=$W$2),ゲージわざ表[[#This Row],[DPS]]*タイプ一致係数,ゲージわざ表[[#This Row],[DPS]])</f>
        <v>14.516129032258</v>
      </c>
      <c r="Q38" s="116">
        <f>IF(OR(ゲージわざ表[[#This Row],[タイプ]]=$V$2,ゲージわざ表[[#This Row],[タイプ]]=$W$2),ゲージわざ表[[#This Row],[威力_m]]*タイプ一致係数,ゲージわざ表[[#This Row],[威力_m]])</f>
        <v>45</v>
      </c>
      <c r="R38" s="91">
        <f>IF(OR(ゲージわざ表[[#This Row],[タイプ]]=$V$2,ゲージわざ表[[#This Row],[タイプ]]=$W$2),ゲージわざ表[[#This Row],[DPE]]*タイプ一致係数,ゲージわざ表[[#This Row],[DPE]])</f>
        <v>1.125</v>
      </c>
    </row>
    <row r="39" spans="1:18" ht="16.5" customHeight="1" x14ac:dyDescent="0.45">
      <c r="A39" s="128" t="s">
        <v>205</v>
      </c>
      <c r="B39" s="128" t="s">
        <v>111</v>
      </c>
      <c r="C39" s="468">
        <v>85</v>
      </c>
      <c r="D39" s="91">
        <v>1.9</v>
      </c>
      <c r="E39" s="89">
        <v>44.736842105263001</v>
      </c>
      <c r="F39" s="116">
        <v>2</v>
      </c>
      <c r="G39" s="91">
        <v>1.5</v>
      </c>
      <c r="H39" s="468">
        <v>75</v>
      </c>
      <c r="I39" s="116">
        <v>50</v>
      </c>
      <c r="J39" s="91">
        <v>1.5</v>
      </c>
      <c r="K39" s="90" t="s">
        <v>1779</v>
      </c>
      <c r="L39" s="90">
        <v>2</v>
      </c>
      <c r="M39" s="90">
        <v>0.125</v>
      </c>
      <c r="N39" s="473" t="str">
        <f>IF(OR(ゲージわざ表[[#This Row],[タイプ]]=$V$2,ゲージわざ表[[#This Row],[タイプ]]=$W$2),"↑","")</f>
        <v/>
      </c>
      <c r="O39" s="116">
        <f>IF(OR(ゲージわざ表[[#This Row],[タイプ]]=$V$2,ゲージわざ表[[#This Row],[タイプ]]=$W$2),ゲージわざ表[[#This Row],[威力_g]]*タイプ一致係数,ゲージわざ表[[#This Row],[威力_g]])</f>
        <v>85</v>
      </c>
      <c r="P39" s="89">
        <f>IF(OR(ゲージわざ表[[#This Row],[タイプ]]=$V$2,ゲージわざ表[[#This Row],[タイプ]]=$W$2),ゲージわざ表[[#This Row],[DPS]]*タイプ一致係数,ゲージわざ表[[#This Row],[DPS]])</f>
        <v>44.736842105263001</v>
      </c>
      <c r="Q39" s="116">
        <f>IF(OR(ゲージわざ表[[#This Row],[タイプ]]=$V$2,ゲージわざ表[[#This Row],[タイプ]]=$W$2),ゲージわざ表[[#This Row],[威力_m]]*タイプ一致係数,ゲージわざ表[[#This Row],[威力_m]])</f>
        <v>75</v>
      </c>
      <c r="R39" s="91">
        <f>IF(OR(ゲージわざ表[[#This Row],[タイプ]]=$V$2,ゲージわざ表[[#This Row],[タイプ]]=$W$2),ゲージわざ表[[#This Row],[DPE]]*タイプ一致係数,ゲージわざ表[[#This Row],[DPE]])</f>
        <v>1.5</v>
      </c>
    </row>
    <row r="40" spans="1:18" x14ac:dyDescent="0.45">
      <c r="A40" s="120" t="s">
        <v>44</v>
      </c>
      <c r="B40" s="120" t="s">
        <v>47</v>
      </c>
      <c r="C40" s="468">
        <v>50</v>
      </c>
      <c r="D40" s="91">
        <v>2</v>
      </c>
      <c r="E40" s="89">
        <v>25</v>
      </c>
      <c r="F40" s="116">
        <v>3</v>
      </c>
      <c r="G40" s="91">
        <v>1.7</v>
      </c>
      <c r="H40" s="468">
        <v>20</v>
      </c>
      <c r="I40" s="116">
        <v>35</v>
      </c>
      <c r="J40" s="91">
        <v>0.57142857142856995</v>
      </c>
      <c r="K40" s="90" t="s">
        <v>1771</v>
      </c>
      <c r="L40" s="90">
        <v>1</v>
      </c>
      <c r="M40" s="90">
        <v>1</v>
      </c>
      <c r="N40" s="473" t="str">
        <f>IF(OR(ゲージわざ表[[#This Row],[タイプ]]=$V$2,ゲージわざ表[[#This Row],[タイプ]]=$W$2),"↑","")</f>
        <v/>
      </c>
      <c r="O40" s="116">
        <f>IF(OR(ゲージわざ表[[#This Row],[タイプ]]=$V$2,ゲージわざ表[[#This Row],[タイプ]]=$W$2),ゲージわざ表[[#This Row],[威力_g]]*タイプ一致係数,ゲージわざ表[[#This Row],[威力_g]])</f>
        <v>50</v>
      </c>
      <c r="P40" s="89">
        <f>IF(OR(ゲージわざ表[[#This Row],[タイプ]]=$V$2,ゲージわざ表[[#This Row],[タイプ]]=$W$2),ゲージわざ表[[#This Row],[DPS]]*タイプ一致係数,ゲージわざ表[[#This Row],[DPS]])</f>
        <v>25</v>
      </c>
      <c r="Q40" s="116">
        <f>IF(OR(ゲージわざ表[[#This Row],[タイプ]]=$V$2,ゲージわざ表[[#This Row],[タイプ]]=$W$2),ゲージわざ表[[#This Row],[威力_m]]*タイプ一致係数,ゲージわざ表[[#This Row],[威力_m]])</f>
        <v>20</v>
      </c>
      <c r="R40" s="91">
        <f>IF(OR(ゲージわざ表[[#This Row],[タイプ]]=$V$2,ゲージわざ表[[#This Row],[タイプ]]=$W$2),ゲージわざ表[[#This Row],[DPE]]*タイプ一致係数,ゲージわざ表[[#This Row],[DPE]])</f>
        <v>0.57142857142856995</v>
      </c>
    </row>
    <row r="41" spans="1:18" x14ac:dyDescent="0.45">
      <c r="A41" s="120" t="s">
        <v>1513</v>
      </c>
      <c r="B41" s="120" t="s">
        <v>47</v>
      </c>
      <c r="C41" s="468">
        <v>50</v>
      </c>
      <c r="D41" s="91">
        <v>1.5</v>
      </c>
      <c r="E41" s="89">
        <v>33.333333333333002</v>
      </c>
      <c r="F41" s="116">
        <v>2</v>
      </c>
      <c r="G41" s="91">
        <v>0.8</v>
      </c>
      <c r="H41" s="468">
        <v>50</v>
      </c>
      <c r="I41" s="116">
        <v>35</v>
      </c>
      <c r="J41" s="91">
        <v>1.4285714285714</v>
      </c>
      <c r="N41" s="473" t="str">
        <f>IF(OR(ゲージわざ表[[#This Row],[タイプ]]=$V$2,ゲージわざ表[[#This Row],[タイプ]]=$W$2),"↑","")</f>
        <v/>
      </c>
      <c r="O41" s="116">
        <f>IF(OR(ゲージわざ表[[#This Row],[タイプ]]=$V$2,ゲージわざ表[[#This Row],[タイプ]]=$W$2),ゲージわざ表[[#This Row],[威力_g]]*タイプ一致係数,ゲージわざ表[[#This Row],[威力_g]])</f>
        <v>50</v>
      </c>
      <c r="P41" s="89">
        <f>IF(OR(ゲージわざ表[[#This Row],[タイプ]]=$V$2,ゲージわざ表[[#This Row],[タイプ]]=$W$2),ゲージわざ表[[#This Row],[DPS]]*タイプ一致係数,ゲージわざ表[[#This Row],[DPS]])</f>
        <v>33.333333333333002</v>
      </c>
      <c r="Q41" s="116">
        <f>IF(OR(ゲージわざ表[[#This Row],[タイプ]]=$V$2,ゲージわざ表[[#This Row],[タイプ]]=$W$2),ゲージわざ表[[#This Row],[威力_m]]*タイプ一致係数,ゲージわざ表[[#This Row],[威力_m]])</f>
        <v>50</v>
      </c>
      <c r="R41" s="91">
        <f>IF(OR(ゲージわざ表[[#This Row],[タイプ]]=$V$2,ゲージわざ表[[#This Row],[タイプ]]=$W$2),ゲージわざ表[[#This Row],[DPE]]*タイプ一致係数,ゲージわざ表[[#This Row],[DPE]])</f>
        <v>1.4285714285714</v>
      </c>
    </row>
    <row r="42" spans="1:18" x14ac:dyDescent="0.45">
      <c r="A42" s="132" t="s">
        <v>1511</v>
      </c>
      <c r="B42" s="132" t="s">
        <v>32</v>
      </c>
      <c r="C42" s="468">
        <v>40</v>
      </c>
      <c r="D42" s="91">
        <v>1.5</v>
      </c>
      <c r="E42" s="89">
        <v>26.666666666666998</v>
      </c>
      <c r="F42" s="116">
        <v>3</v>
      </c>
      <c r="G42" s="91">
        <v>0.9</v>
      </c>
      <c r="H42" s="468">
        <v>40</v>
      </c>
      <c r="I42" s="116">
        <v>35</v>
      </c>
      <c r="J42" s="91">
        <v>1.1428571428570999</v>
      </c>
      <c r="N42" s="473" t="str">
        <f>IF(OR(ゲージわざ表[[#This Row],[タイプ]]=$V$2,ゲージわざ表[[#This Row],[タイプ]]=$W$2),"↑","")</f>
        <v/>
      </c>
      <c r="O42" s="116">
        <f>IF(OR(ゲージわざ表[[#This Row],[タイプ]]=$V$2,ゲージわざ表[[#This Row],[タイプ]]=$W$2),ゲージわざ表[[#This Row],[威力_g]]*タイプ一致係数,ゲージわざ表[[#This Row],[威力_g]])</f>
        <v>40</v>
      </c>
      <c r="P42" s="89">
        <f>IF(OR(ゲージわざ表[[#This Row],[タイプ]]=$V$2,ゲージわざ表[[#This Row],[タイプ]]=$W$2),ゲージわざ表[[#This Row],[DPS]]*タイプ一致係数,ゲージわざ表[[#This Row],[DPS]])</f>
        <v>26.666666666666998</v>
      </c>
      <c r="Q42" s="116">
        <f>IF(OR(ゲージわざ表[[#This Row],[タイプ]]=$V$2,ゲージわざ表[[#This Row],[タイプ]]=$W$2),ゲージわざ表[[#This Row],[威力_m]]*タイプ一致係数,ゲージわざ表[[#This Row],[威力_m]])</f>
        <v>40</v>
      </c>
      <c r="R42" s="91">
        <f>IF(OR(ゲージわざ表[[#This Row],[タイプ]]=$V$2,ゲージわざ表[[#This Row],[タイプ]]=$W$2),ゲージわざ表[[#This Row],[DPE]]*タイプ一致係数,ゲージわざ表[[#This Row],[DPE]])</f>
        <v>1.1428571428570999</v>
      </c>
    </row>
    <row r="43" spans="1:18" x14ac:dyDescent="0.45">
      <c r="A43" s="122" t="s">
        <v>175</v>
      </c>
      <c r="B43" s="122" t="s">
        <v>90</v>
      </c>
      <c r="C43" s="468">
        <v>110</v>
      </c>
      <c r="D43" s="91">
        <v>3.9</v>
      </c>
      <c r="E43" s="89">
        <v>28.205128205127998</v>
      </c>
      <c r="F43" s="116">
        <v>2</v>
      </c>
      <c r="G43" s="91">
        <v>2.5</v>
      </c>
      <c r="H43" s="468">
        <v>110</v>
      </c>
      <c r="I43" s="116">
        <v>60</v>
      </c>
      <c r="J43" s="91">
        <v>1.8333333333333</v>
      </c>
      <c r="N43" s="473" t="str">
        <f>IF(OR(ゲージわざ表[[#This Row],[タイプ]]=$V$2,ゲージわざ表[[#This Row],[タイプ]]=$W$2),"↑","")</f>
        <v/>
      </c>
      <c r="O43" s="116">
        <f>IF(OR(ゲージわざ表[[#This Row],[タイプ]]=$V$2,ゲージわざ表[[#This Row],[タイプ]]=$W$2),ゲージわざ表[[#This Row],[威力_g]]*タイプ一致係数,ゲージわざ表[[#This Row],[威力_g]])</f>
        <v>110</v>
      </c>
      <c r="P43" s="89">
        <f>IF(OR(ゲージわざ表[[#This Row],[タイプ]]=$V$2,ゲージわざ表[[#This Row],[タイプ]]=$W$2),ゲージわざ表[[#This Row],[DPS]]*タイプ一致係数,ゲージわざ表[[#This Row],[DPS]])</f>
        <v>28.205128205127998</v>
      </c>
      <c r="Q43" s="116">
        <f>IF(OR(ゲージわざ表[[#This Row],[タイプ]]=$V$2,ゲージわざ表[[#This Row],[タイプ]]=$W$2),ゲージわざ表[[#This Row],[威力_m]]*タイプ一致係数,ゲージわざ表[[#This Row],[威力_m]])</f>
        <v>110</v>
      </c>
      <c r="R43" s="91">
        <f>IF(OR(ゲージわざ表[[#This Row],[タイプ]]=$V$2,ゲージわざ表[[#This Row],[タイプ]]=$W$2),ゲージわざ表[[#This Row],[DPE]]*タイプ一致係数,ゲージわざ表[[#This Row],[DPE]])</f>
        <v>1.8333333333333</v>
      </c>
    </row>
    <row r="44" spans="1:18" ht="16.5" customHeight="1" x14ac:dyDescent="0.45">
      <c r="A44" s="119" t="s">
        <v>282</v>
      </c>
      <c r="B44" s="119" t="s">
        <v>43</v>
      </c>
      <c r="C44" s="468">
        <v>70</v>
      </c>
      <c r="D44" s="91">
        <v>3.5</v>
      </c>
      <c r="E44" s="89">
        <v>20</v>
      </c>
      <c r="F44" s="116">
        <v>3</v>
      </c>
      <c r="G44" s="91">
        <v>2.85</v>
      </c>
      <c r="H44" s="468">
        <v>70</v>
      </c>
      <c r="I44" s="116">
        <v>45</v>
      </c>
      <c r="J44" s="91">
        <v>1.5555555555556</v>
      </c>
      <c r="K44" s="90" t="s">
        <v>1768</v>
      </c>
      <c r="L44" s="90">
        <v>2</v>
      </c>
      <c r="M44" s="90">
        <v>0.1</v>
      </c>
      <c r="N44" s="473" t="str">
        <f>IF(OR(ゲージわざ表[[#This Row],[タイプ]]=$V$2,ゲージわざ表[[#This Row],[タイプ]]=$W$2),"↑","")</f>
        <v/>
      </c>
      <c r="O44" s="116">
        <f>IF(OR(ゲージわざ表[[#This Row],[タイプ]]=$V$2,ゲージわざ表[[#This Row],[タイプ]]=$W$2),ゲージわざ表[[#This Row],[威力_g]]*タイプ一致係数,ゲージわざ表[[#This Row],[威力_g]])</f>
        <v>70</v>
      </c>
      <c r="P44" s="89">
        <f>IF(OR(ゲージわざ表[[#This Row],[タイプ]]=$V$2,ゲージわざ表[[#This Row],[タイプ]]=$W$2),ゲージわざ表[[#This Row],[DPS]]*タイプ一致係数,ゲージわざ表[[#This Row],[DPS]])</f>
        <v>20</v>
      </c>
      <c r="Q44" s="116">
        <f>IF(OR(ゲージわざ表[[#This Row],[タイプ]]=$V$2,ゲージわざ表[[#This Row],[タイプ]]=$W$2),ゲージわざ表[[#This Row],[威力_m]]*タイプ一致係数,ゲージわざ表[[#This Row],[威力_m]])</f>
        <v>70</v>
      </c>
      <c r="R44" s="91">
        <f>IF(OR(ゲージわざ表[[#This Row],[タイプ]]=$V$2,ゲージわざ表[[#This Row],[タイプ]]=$W$2),ゲージわざ表[[#This Row],[DPE]]*タイプ一致係数,ゲージわざ表[[#This Row],[DPE]])</f>
        <v>1.5555555555556</v>
      </c>
    </row>
    <row r="45" spans="1:18" x14ac:dyDescent="0.45">
      <c r="A45" s="121" t="s">
        <v>69</v>
      </c>
      <c r="B45" s="121" t="s">
        <v>62</v>
      </c>
      <c r="C45" s="468">
        <v>60</v>
      </c>
      <c r="D45" s="91">
        <v>3.3</v>
      </c>
      <c r="E45" s="89">
        <v>18.181818181817999</v>
      </c>
      <c r="F45" s="116">
        <v>3</v>
      </c>
      <c r="G45" s="91">
        <v>2</v>
      </c>
      <c r="H45" s="468">
        <v>60</v>
      </c>
      <c r="I45" s="116">
        <v>45</v>
      </c>
      <c r="J45" s="91">
        <v>1.3333333333333</v>
      </c>
      <c r="K45" s="90" t="s">
        <v>1769</v>
      </c>
      <c r="L45" s="90">
        <v>1</v>
      </c>
      <c r="M45" s="90">
        <v>1</v>
      </c>
      <c r="N45" s="473" t="str">
        <f>IF(OR(ゲージわざ表[[#This Row],[タイプ]]=$V$2,ゲージわざ表[[#This Row],[タイプ]]=$W$2),"↑","")</f>
        <v/>
      </c>
      <c r="O45" s="116">
        <f>IF(OR(ゲージわざ表[[#This Row],[タイプ]]=$V$2,ゲージわざ表[[#This Row],[タイプ]]=$W$2),ゲージわざ表[[#This Row],[威力_g]]*タイプ一致係数,ゲージわざ表[[#This Row],[威力_g]])</f>
        <v>60</v>
      </c>
      <c r="P45" s="89">
        <f>IF(OR(ゲージわざ表[[#This Row],[タイプ]]=$V$2,ゲージわざ表[[#This Row],[タイプ]]=$W$2),ゲージわざ表[[#This Row],[DPS]]*タイプ一致係数,ゲージわざ表[[#This Row],[DPS]])</f>
        <v>18.181818181817999</v>
      </c>
      <c r="Q45" s="116">
        <f>IF(OR(ゲージわざ表[[#This Row],[タイプ]]=$V$2,ゲージわざ表[[#This Row],[タイプ]]=$W$2),ゲージわざ表[[#This Row],[威力_m]]*タイプ一致係数,ゲージわざ表[[#This Row],[威力_m]])</f>
        <v>60</v>
      </c>
      <c r="R45" s="91">
        <f>IF(OR(ゲージわざ表[[#This Row],[タイプ]]=$V$2,ゲージわざ表[[#This Row],[タイプ]]=$W$2),ゲージわざ表[[#This Row],[DPE]]*タイプ一致係数,ゲージわざ表[[#This Row],[DPE]])</f>
        <v>1.3333333333333</v>
      </c>
    </row>
    <row r="46" spans="1:18" ht="16.5" customHeight="1" x14ac:dyDescent="0.45">
      <c r="A46" s="131" t="s">
        <v>229</v>
      </c>
      <c r="B46" s="131" t="s">
        <v>72</v>
      </c>
      <c r="C46" s="468">
        <v>80</v>
      </c>
      <c r="D46" s="91">
        <v>2</v>
      </c>
      <c r="E46" s="89">
        <v>40</v>
      </c>
      <c r="F46" s="116">
        <v>2</v>
      </c>
      <c r="G46" s="91">
        <v>1.5</v>
      </c>
      <c r="H46" s="468">
        <v>80</v>
      </c>
      <c r="I46" s="116">
        <v>45</v>
      </c>
      <c r="J46" s="91">
        <v>1.7777777777778001</v>
      </c>
      <c r="N46" s="473" t="str">
        <f>IF(OR(ゲージわざ表[[#This Row],[タイプ]]=$V$2,ゲージわざ表[[#This Row],[タイプ]]=$W$2),"↑","")</f>
        <v/>
      </c>
      <c r="O46" s="116">
        <f>IF(OR(ゲージわざ表[[#This Row],[タイプ]]=$V$2,ゲージわざ表[[#This Row],[タイプ]]=$W$2),ゲージわざ表[[#This Row],[威力_g]]*タイプ一致係数,ゲージわざ表[[#This Row],[威力_g]])</f>
        <v>80</v>
      </c>
      <c r="P46" s="89">
        <f>IF(OR(ゲージわざ表[[#This Row],[タイプ]]=$V$2,ゲージわざ表[[#This Row],[タイプ]]=$W$2),ゲージわざ表[[#This Row],[DPS]]*タイプ一致係数,ゲージわざ表[[#This Row],[DPS]])</f>
        <v>40</v>
      </c>
      <c r="Q46" s="116">
        <f>IF(OR(ゲージわざ表[[#This Row],[タイプ]]=$V$2,ゲージわざ表[[#This Row],[タイプ]]=$W$2),ゲージわざ表[[#This Row],[威力_m]]*タイプ一致係数,ゲージわざ表[[#This Row],[威力_m]])</f>
        <v>80</v>
      </c>
      <c r="R46" s="91">
        <f>IF(OR(ゲージわざ表[[#This Row],[タイプ]]=$V$2,ゲージわざ表[[#This Row],[タイプ]]=$W$2),ゲージわざ表[[#This Row],[DPE]]*タイプ一致係数,ゲージわざ表[[#This Row],[DPE]])</f>
        <v>1.7777777777778001</v>
      </c>
    </row>
    <row r="47" spans="1:18" x14ac:dyDescent="0.45">
      <c r="A47" s="124" t="s">
        <v>1541</v>
      </c>
      <c r="B47" s="124" t="s">
        <v>4</v>
      </c>
      <c r="C47" s="468">
        <v>100</v>
      </c>
      <c r="D47" s="91">
        <v>2.6</v>
      </c>
      <c r="E47" s="89">
        <v>38.461538461537998</v>
      </c>
      <c r="F47" s="116">
        <v>2</v>
      </c>
      <c r="G47" s="91">
        <v>2.2999999999999998</v>
      </c>
      <c r="H47" s="468">
        <v>100</v>
      </c>
      <c r="I47" s="116">
        <v>50</v>
      </c>
      <c r="J47" s="91">
        <v>2</v>
      </c>
      <c r="N47" s="473" t="str">
        <f>IF(OR(ゲージわざ表[[#This Row],[タイプ]]=$V$2,ゲージわざ表[[#This Row],[タイプ]]=$W$2),"↑","")</f>
        <v/>
      </c>
      <c r="O47" s="116">
        <f>IF(OR(ゲージわざ表[[#This Row],[タイプ]]=$V$2,ゲージわざ表[[#This Row],[タイプ]]=$W$2),ゲージわざ表[[#This Row],[威力_g]]*タイプ一致係数,ゲージわざ表[[#This Row],[威力_g]])</f>
        <v>100</v>
      </c>
      <c r="P47" s="89">
        <f>IF(OR(ゲージわざ表[[#This Row],[タイプ]]=$V$2,ゲージわざ表[[#This Row],[タイプ]]=$W$2),ゲージわざ表[[#This Row],[DPS]]*タイプ一致係数,ゲージわざ表[[#This Row],[DPS]])</f>
        <v>38.461538461537998</v>
      </c>
      <c r="Q47" s="116">
        <f>IF(OR(ゲージわざ表[[#This Row],[タイプ]]=$V$2,ゲージわざ表[[#This Row],[タイプ]]=$W$2),ゲージわざ表[[#This Row],[威力_m]]*タイプ一致係数,ゲージわざ表[[#This Row],[威力_m]])</f>
        <v>100</v>
      </c>
      <c r="R47" s="91">
        <f>IF(OR(ゲージわざ表[[#This Row],[タイプ]]=$V$2,ゲージわざ表[[#This Row],[タイプ]]=$W$2),ゲージわざ表[[#This Row],[DPE]]*タイプ一致係数,ゲージわざ表[[#This Row],[DPE]])</f>
        <v>2</v>
      </c>
    </row>
    <row r="48" spans="1:18" ht="16.5" customHeight="1" x14ac:dyDescent="0.45">
      <c r="A48" s="128" t="s">
        <v>1570</v>
      </c>
      <c r="B48" s="128" t="s">
        <v>111</v>
      </c>
      <c r="C48" s="468">
        <v>130</v>
      </c>
      <c r="D48" s="91">
        <v>1.7</v>
      </c>
      <c r="E48" s="89">
        <v>76.470588235294002</v>
      </c>
      <c r="F48" s="116">
        <v>1</v>
      </c>
      <c r="G48" s="91">
        <v>1.4</v>
      </c>
      <c r="H48" s="468">
        <v>130</v>
      </c>
      <c r="I48" s="116">
        <v>60</v>
      </c>
      <c r="J48" s="91">
        <v>2.1666666666666998</v>
      </c>
      <c r="N48" s="473" t="str">
        <f>IF(OR(ゲージわざ表[[#This Row],[タイプ]]=$V$2,ゲージわざ表[[#This Row],[タイプ]]=$W$2),"↑","")</f>
        <v/>
      </c>
      <c r="O48" s="116">
        <f>IF(OR(ゲージわざ表[[#This Row],[タイプ]]=$V$2,ゲージわざ表[[#This Row],[タイプ]]=$W$2),ゲージわざ表[[#This Row],[威力_g]]*タイプ一致係数,ゲージわざ表[[#This Row],[威力_g]])</f>
        <v>130</v>
      </c>
      <c r="P48" s="89">
        <f>IF(OR(ゲージわざ表[[#This Row],[タイプ]]=$V$2,ゲージわざ表[[#This Row],[タイプ]]=$W$2),ゲージわざ表[[#This Row],[DPS]]*タイプ一致係数,ゲージわざ表[[#This Row],[DPS]])</f>
        <v>76.470588235294002</v>
      </c>
      <c r="Q48" s="116">
        <f>IF(OR(ゲージわざ表[[#This Row],[タイプ]]=$V$2,ゲージわざ表[[#This Row],[タイプ]]=$W$2),ゲージわざ表[[#This Row],[威力_m]]*タイプ一致係数,ゲージわざ表[[#This Row],[威力_m]])</f>
        <v>130</v>
      </c>
      <c r="R48" s="91">
        <f>IF(OR(ゲージわざ表[[#This Row],[タイプ]]=$V$2,ゲージわざ表[[#This Row],[タイプ]]=$W$2),ゲージわざ表[[#This Row],[DPE]]*タイプ一致係数,ゲージわざ表[[#This Row],[DPE]])</f>
        <v>2.1666666666666998</v>
      </c>
    </row>
    <row r="49" spans="1:18" ht="16.5" customHeight="1" x14ac:dyDescent="0.45">
      <c r="A49" s="127" t="s">
        <v>1516</v>
      </c>
      <c r="B49" s="127" t="s">
        <v>18</v>
      </c>
      <c r="C49" s="468">
        <v>70</v>
      </c>
      <c r="D49" s="91">
        <v>3.2</v>
      </c>
      <c r="E49" s="89">
        <v>21.875</v>
      </c>
      <c r="F49" s="116">
        <v>2</v>
      </c>
      <c r="G49" s="91">
        <v>1.3</v>
      </c>
      <c r="H49" s="468">
        <v>70</v>
      </c>
      <c r="I49" s="116">
        <v>60</v>
      </c>
      <c r="J49" s="91">
        <v>1.1666666666667</v>
      </c>
      <c r="N49" s="473" t="str">
        <f>IF(OR(ゲージわざ表[[#This Row],[タイプ]]=$V$2,ゲージわざ表[[#This Row],[タイプ]]=$W$2),"↑","")</f>
        <v/>
      </c>
      <c r="O49" s="116">
        <f>IF(OR(ゲージわざ表[[#This Row],[タイプ]]=$V$2,ゲージわざ表[[#This Row],[タイプ]]=$W$2),ゲージわざ表[[#This Row],[威力_g]]*タイプ一致係数,ゲージわざ表[[#This Row],[威力_g]])</f>
        <v>70</v>
      </c>
      <c r="P49" s="89">
        <f>IF(OR(ゲージわざ表[[#This Row],[タイプ]]=$V$2,ゲージわざ表[[#This Row],[タイプ]]=$W$2),ゲージわざ表[[#This Row],[DPS]]*タイプ一致係数,ゲージわざ表[[#This Row],[DPS]])</f>
        <v>21.875</v>
      </c>
      <c r="Q49" s="116">
        <f>IF(OR(ゲージわざ表[[#This Row],[タイプ]]=$V$2,ゲージわざ表[[#This Row],[タイプ]]=$W$2),ゲージわざ表[[#This Row],[威力_m]]*タイプ一致係数,ゲージわざ表[[#This Row],[威力_m]])</f>
        <v>70</v>
      </c>
      <c r="R49" s="91">
        <f>IF(OR(ゲージわざ表[[#This Row],[タイプ]]=$V$2,ゲージわざ表[[#This Row],[タイプ]]=$W$2),ゲージわざ表[[#This Row],[DPE]]*タイプ一致係数,ゲージわざ表[[#This Row],[DPE]])</f>
        <v>1.1666666666667</v>
      </c>
    </row>
    <row r="50" spans="1:18" ht="16.5" customHeight="1" x14ac:dyDescent="0.45">
      <c r="A50" s="127" t="s">
        <v>82</v>
      </c>
      <c r="B50" s="127" t="s">
        <v>18</v>
      </c>
      <c r="C50" s="468">
        <v>90</v>
      </c>
      <c r="D50" s="91">
        <v>2.8</v>
      </c>
      <c r="E50" s="89">
        <v>32.142857142856997</v>
      </c>
      <c r="F50" s="116">
        <v>2</v>
      </c>
      <c r="G50" s="91">
        <v>1.3</v>
      </c>
      <c r="H50" s="468">
        <v>90</v>
      </c>
      <c r="I50" s="116">
        <v>55</v>
      </c>
      <c r="J50" s="91">
        <v>1.6363636363636</v>
      </c>
      <c r="K50" s="90" t="s">
        <v>1770</v>
      </c>
      <c r="L50" s="90">
        <v>1</v>
      </c>
      <c r="M50" s="90">
        <v>0.1</v>
      </c>
      <c r="N50" s="473" t="str">
        <f>IF(OR(ゲージわざ表[[#This Row],[タイプ]]=$V$2,ゲージわざ表[[#This Row],[タイプ]]=$W$2),"↑","")</f>
        <v/>
      </c>
      <c r="O50" s="116">
        <f>IF(OR(ゲージわざ表[[#This Row],[タイプ]]=$V$2,ゲージわざ表[[#This Row],[タイプ]]=$W$2),ゲージわざ表[[#This Row],[威力_g]]*タイプ一致係数,ゲージわざ表[[#This Row],[威力_g]])</f>
        <v>90</v>
      </c>
      <c r="P50" s="89">
        <f>IF(OR(ゲージわざ表[[#This Row],[タイプ]]=$V$2,ゲージわざ表[[#This Row],[タイプ]]=$W$2),ゲージわざ表[[#This Row],[DPS]]*タイプ一致係数,ゲージわざ表[[#This Row],[DPS]])</f>
        <v>32.142857142856997</v>
      </c>
      <c r="Q50" s="116">
        <f>IF(OR(ゲージわざ表[[#This Row],[タイプ]]=$V$2,ゲージわざ表[[#This Row],[タイプ]]=$W$2),ゲージわざ表[[#This Row],[威力_m]]*タイプ一致係数,ゲージわざ表[[#This Row],[威力_m]])</f>
        <v>90</v>
      </c>
      <c r="R50" s="91">
        <f>IF(OR(ゲージわざ表[[#This Row],[タイプ]]=$V$2,ゲージわざ表[[#This Row],[タイプ]]=$W$2),ゲージわざ表[[#This Row],[DPE]]*タイプ一致係数,ゲージわざ表[[#This Row],[DPE]])</f>
        <v>1.6363636363636</v>
      </c>
    </row>
    <row r="51" spans="1:18" x14ac:dyDescent="0.45">
      <c r="A51" s="127" t="s">
        <v>58</v>
      </c>
      <c r="B51" s="127" t="s">
        <v>18</v>
      </c>
      <c r="C51" s="468">
        <v>65</v>
      </c>
      <c r="D51" s="91">
        <v>2.7</v>
      </c>
      <c r="E51" s="89">
        <v>24.074074074074002</v>
      </c>
      <c r="F51" s="116">
        <v>3</v>
      </c>
      <c r="G51" s="91">
        <v>2</v>
      </c>
      <c r="H51" s="468">
        <v>70</v>
      </c>
      <c r="I51" s="116">
        <v>45</v>
      </c>
      <c r="J51" s="91">
        <v>1.5555555555556</v>
      </c>
      <c r="N51" s="473" t="str">
        <f>IF(OR(ゲージわざ表[[#This Row],[タイプ]]=$V$2,ゲージわざ表[[#This Row],[タイプ]]=$W$2),"↑","")</f>
        <v/>
      </c>
      <c r="O51" s="116">
        <f>IF(OR(ゲージわざ表[[#This Row],[タイプ]]=$V$2,ゲージわざ表[[#This Row],[タイプ]]=$W$2),ゲージわざ表[[#This Row],[威力_g]]*タイプ一致係数,ゲージわざ表[[#This Row],[威力_g]])</f>
        <v>65</v>
      </c>
      <c r="P51" s="89">
        <f>IF(OR(ゲージわざ表[[#This Row],[タイプ]]=$V$2,ゲージわざ表[[#This Row],[タイプ]]=$W$2),ゲージわざ表[[#This Row],[DPS]]*タイプ一致係数,ゲージわざ表[[#This Row],[DPS]])</f>
        <v>24.074074074074002</v>
      </c>
      <c r="Q51" s="116">
        <f>IF(OR(ゲージわざ表[[#This Row],[タイプ]]=$V$2,ゲージわざ表[[#This Row],[タイプ]]=$W$2),ゲージわざ表[[#This Row],[威力_m]]*タイプ一致係数,ゲージわざ表[[#This Row],[威力_m]])</f>
        <v>70</v>
      </c>
      <c r="R51" s="91">
        <f>IF(OR(ゲージわざ表[[#This Row],[タイプ]]=$V$2,ゲージわざ表[[#This Row],[タイプ]]=$W$2),ゲージわざ表[[#This Row],[DPE]]*タイプ一致係数,ゲージわざ表[[#This Row],[DPE]])</f>
        <v>1.5555555555556</v>
      </c>
    </row>
    <row r="52" spans="1:18" x14ac:dyDescent="0.45">
      <c r="A52" s="127" t="s">
        <v>1526</v>
      </c>
      <c r="B52" s="127" t="s">
        <v>18</v>
      </c>
      <c r="C52" s="468">
        <v>70</v>
      </c>
      <c r="D52" s="91">
        <v>4</v>
      </c>
      <c r="E52" s="89">
        <v>17.5</v>
      </c>
      <c r="F52" s="116">
        <v>2</v>
      </c>
      <c r="G52" s="91">
        <v>3.5</v>
      </c>
      <c r="H52" s="468">
        <v>70</v>
      </c>
      <c r="I52" s="116">
        <v>35</v>
      </c>
      <c r="J52" s="91">
        <v>2</v>
      </c>
      <c r="K52" s="90" t="s">
        <v>1776</v>
      </c>
      <c r="L52" s="90">
        <v>2</v>
      </c>
      <c r="M52" s="90">
        <v>1</v>
      </c>
      <c r="N52" s="473" t="str">
        <f>IF(OR(ゲージわざ表[[#This Row],[タイプ]]=$V$2,ゲージわざ表[[#This Row],[タイプ]]=$W$2),"↑","")</f>
        <v/>
      </c>
      <c r="O52" s="116">
        <f>IF(OR(ゲージわざ表[[#This Row],[タイプ]]=$V$2,ゲージわざ表[[#This Row],[タイプ]]=$W$2),ゲージわざ表[[#This Row],[威力_g]]*タイプ一致係数,ゲージわざ表[[#This Row],[威力_g]])</f>
        <v>70</v>
      </c>
      <c r="P52" s="89">
        <f>IF(OR(ゲージわざ表[[#This Row],[タイプ]]=$V$2,ゲージわざ表[[#This Row],[タイプ]]=$W$2),ゲージわざ表[[#This Row],[DPS]]*タイプ一致係数,ゲージわざ表[[#This Row],[DPS]])</f>
        <v>17.5</v>
      </c>
      <c r="Q52" s="116">
        <f>IF(OR(ゲージわざ表[[#This Row],[タイプ]]=$V$2,ゲージわざ表[[#This Row],[タイプ]]=$W$2),ゲージわざ表[[#This Row],[威力_m]]*タイプ一致係数,ゲージわざ表[[#This Row],[威力_m]])</f>
        <v>70</v>
      </c>
      <c r="R52" s="91">
        <f>IF(OR(ゲージわざ表[[#This Row],[タイプ]]=$V$2,ゲージわざ表[[#This Row],[タイプ]]=$W$2),ゲージわざ表[[#This Row],[DPE]]*タイプ一致係数,ゲージわざ表[[#This Row],[DPE]])</f>
        <v>2</v>
      </c>
    </row>
    <row r="53" spans="1:18" x14ac:dyDescent="0.45">
      <c r="A53" s="127" t="s">
        <v>1569</v>
      </c>
      <c r="B53" s="127" t="s">
        <v>18</v>
      </c>
      <c r="C53" s="468">
        <v>90</v>
      </c>
      <c r="D53" s="91">
        <v>2.2999999999999998</v>
      </c>
      <c r="E53" s="89">
        <v>39.130434782609001</v>
      </c>
      <c r="F53" s="116">
        <v>2</v>
      </c>
      <c r="G53" s="91">
        <v>1</v>
      </c>
      <c r="H53" s="468">
        <v>90</v>
      </c>
      <c r="I53" s="116">
        <v>45</v>
      </c>
      <c r="J53" s="91">
        <v>2</v>
      </c>
      <c r="N53" s="473" t="str">
        <f>IF(OR(ゲージわざ表[[#This Row],[タイプ]]=$V$2,ゲージわざ表[[#This Row],[タイプ]]=$W$2),"↑","")</f>
        <v/>
      </c>
      <c r="O53" s="116">
        <f>IF(OR(ゲージわざ表[[#This Row],[タイプ]]=$V$2,ゲージわざ表[[#This Row],[タイプ]]=$W$2),ゲージわざ表[[#This Row],[威力_g]]*タイプ一致係数,ゲージわざ表[[#This Row],[威力_g]])</f>
        <v>90</v>
      </c>
      <c r="P53" s="89">
        <f>IF(OR(ゲージわざ表[[#This Row],[タイプ]]=$V$2,ゲージわざ表[[#This Row],[タイプ]]=$W$2),ゲージわざ表[[#This Row],[DPS]]*タイプ一致係数,ゲージわざ表[[#This Row],[DPS]])</f>
        <v>39.130434782609001</v>
      </c>
      <c r="Q53" s="116">
        <f>IF(OR(ゲージわざ表[[#This Row],[タイプ]]=$V$2,ゲージわざ表[[#This Row],[タイプ]]=$W$2),ゲージわざ表[[#This Row],[威力_m]]*タイプ一致係数,ゲージわざ表[[#This Row],[威力_m]])</f>
        <v>90</v>
      </c>
      <c r="R53" s="91">
        <f>IF(OR(ゲージわざ表[[#This Row],[タイプ]]=$V$2,ゲージわざ表[[#This Row],[タイプ]]=$W$2),ゲージわざ表[[#This Row],[DPE]]*タイプ一致係数,ゲージわざ表[[#This Row],[DPE]])</f>
        <v>2</v>
      </c>
    </row>
    <row r="54" spans="1:18" ht="16.5" customHeight="1" x14ac:dyDescent="0.45">
      <c r="A54" s="128" t="s">
        <v>1568</v>
      </c>
      <c r="B54" s="128" t="s">
        <v>111</v>
      </c>
      <c r="C54" s="468">
        <v>60</v>
      </c>
      <c r="D54" s="91">
        <v>2.2999999999999998</v>
      </c>
      <c r="E54" s="89">
        <v>26.086956521739001</v>
      </c>
      <c r="F54" s="116">
        <v>2</v>
      </c>
      <c r="G54" s="91">
        <v>1.5</v>
      </c>
      <c r="H54" s="468">
        <v>60</v>
      </c>
      <c r="I54" s="116">
        <v>50</v>
      </c>
      <c r="J54" s="91">
        <v>1.2</v>
      </c>
      <c r="N54" s="473" t="str">
        <f>IF(OR(ゲージわざ表[[#This Row],[タイプ]]=$V$2,ゲージわざ表[[#This Row],[タイプ]]=$W$2),"↑","")</f>
        <v/>
      </c>
      <c r="O54" s="116">
        <f>IF(OR(ゲージわざ表[[#This Row],[タイプ]]=$V$2,ゲージわざ表[[#This Row],[タイプ]]=$W$2),ゲージわざ表[[#This Row],[威力_g]]*タイプ一致係数,ゲージわざ表[[#This Row],[威力_g]])</f>
        <v>60</v>
      </c>
      <c r="P54" s="89">
        <f>IF(OR(ゲージわざ表[[#This Row],[タイプ]]=$V$2,ゲージわざ表[[#This Row],[タイプ]]=$W$2),ゲージわざ表[[#This Row],[DPS]]*タイプ一致係数,ゲージわざ表[[#This Row],[DPS]])</f>
        <v>26.086956521739001</v>
      </c>
      <c r="Q54" s="116">
        <f>IF(OR(ゲージわざ表[[#This Row],[タイプ]]=$V$2,ゲージわざ表[[#This Row],[タイプ]]=$W$2),ゲージわざ表[[#This Row],[威力_m]]*タイプ一致係数,ゲージわざ表[[#This Row],[威力_m]])</f>
        <v>60</v>
      </c>
      <c r="R54" s="91">
        <f>IF(OR(ゲージわざ表[[#This Row],[タイプ]]=$V$2,ゲージわざ表[[#This Row],[タイプ]]=$W$2),ゲージわざ表[[#This Row],[DPE]]*タイプ一致係数,ゲージわざ表[[#This Row],[DPE]])</f>
        <v>1.2</v>
      </c>
    </row>
    <row r="55" spans="1:18" x14ac:dyDescent="0.45">
      <c r="A55" s="125" t="s">
        <v>1534</v>
      </c>
      <c r="B55" s="125" t="s">
        <v>29</v>
      </c>
      <c r="C55" s="468">
        <v>75</v>
      </c>
      <c r="D55" s="91">
        <v>2.9</v>
      </c>
      <c r="E55" s="89">
        <v>25.862068965517</v>
      </c>
      <c r="F55" s="116">
        <v>2</v>
      </c>
      <c r="G55" s="91">
        <v>1.8</v>
      </c>
      <c r="H55" s="468">
        <v>75</v>
      </c>
      <c r="I55" s="116">
        <v>55</v>
      </c>
      <c r="J55" s="91">
        <v>1.3636363636364</v>
      </c>
      <c r="N55" s="473" t="str">
        <f>IF(OR(ゲージわざ表[[#This Row],[タイプ]]=$V$2,ゲージわざ表[[#This Row],[タイプ]]=$W$2),"↑","")</f>
        <v/>
      </c>
      <c r="O55" s="116">
        <f>IF(OR(ゲージわざ表[[#This Row],[タイプ]]=$V$2,ゲージわざ表[[#This Row],[タイプ]]=$W$2),ゲージわざ表[[#This Row],[威力_g]]*タイプ一致係数,ゲージわざ表[[#This Row],[威力_g]])</f>
        <v>75</v>
      </c>
      <c r="P55" s="89">
        <f>IF(OR(ゲージわざ表[[#This Row],[タイプ]]=$V$2,ゲージわざ表[[#This Row],[タイプ]]=$W$2),ゲージわざ表[[#This Row],[DPS]]*タイプ一致係数,ゲージわざ表[[#This Row],[DPS]])</f>
        <v>25.862068965517</v>
      </c>
      <c r="Q55" s="116">
        <f>IF(OR(ゲージわざ表[[#This Row],[タイプ]]=$V$2,ゲージわざ表[[#This Row],[タイプ]]=$W$2),ゲージわざ表[[#This Row],[威力_m]]*タイプ一致係数,ゲージわざ表[[#This Row],[威力_m]])</f>
        <v>75</v>
      </c>
      <c r="R55" s="91">
        <f>IF(OR(ゲージわざ表[[#This Row],[タイプ]]=$V$2,ゲージわざ表[[#This Row],[タイプ]]=$W$2),ゲージわざ表[[#This Row],[DPE]]*タイプ一致係数,ゲージわざ表[[#This Row],[DPE]])</f>
        <v>1.3636363636364</v>
      </c>
    </row>
    <row r="56" spans="1:18" x14ac:dyDescent="0.45">
      <c r="A56" s="120" t="s">
        <v>1539</v>
      </c>
      <c r="B56" s="120" t="s">
        <v>47</v>
      </c>
      <c r="C56" s="468">
        <v>60</v>
      </c>
      <c r="D56" s="91">
        <v>2.2000000000000002</v>
      </c>
      <c r="E56" s="89">
        <v>27.272727272727</v>
      </c>
      <c r="F56" s="116">
        <v>2</v>
      </c>
      <c r="G56" s="91">
        <v>1.8</v>
      </c>
      <c r="H56" s="468">
        <v>60</v>
      </c>
      <c r="I56" s="116">
        <v>50</v>
      </c>
      <c r="J56" s="91">
        <v>1.2</v>
      </c>
      <c r="N56" s="473" t="str">
        <f>IF(OR(ゲージわざ表[[#This Row],[タイプ]]=$V$2,ゲージわざ表[[#This Row],[タイプ]]=$W$2),"↑","")</f>
        <v/>
      </c>
      <c r="O56" s="116">
        <f>IF(OR(ゲージわざ表[[#This Row],[タイプ]]=$V$2,ゲージわざ表[[#This Row],[タイプ]]=$W$2),ゲージわざ表[[#This Row],[威力_g]]*タイプ一致係数,ゲージわざ表[[#This Row],[威力_g]])</f>
        <v>60</v>
      </c>
      <c r="P56" s="89">
        <f>IF(OR(ゲージわざ表[[#This Row],[タイプ]]=$V$2,ゲージわざ表[[#This Row],[タイプ]]=$W$2),ゲージわざ表[[#This Row],[DPS]]*タイプ一致係数,ゲージわざ表[[#This Row],[DPS]])</f>
        <v>27.272727272727</v>
      </c>
      <c r="Q56" s="116">
        <f>IF(OR(ゲージわざ表[[#This Row],[タイプ]]=$V$2,ゲージわざ表[[#This Row],[タイプ]]=$W$2),ゲージわざ表[[#This Row],[威力_m]]*タイプ一致係数,ゲージわざ表[[#This Row],[威力_m]])</f>
        <v>60</v>
      </c>
      <c r="R56" s="91">
        <f>IF(OR(ゲージわざ表[[#This Row],[タイプ]]=$V$2,ゲージわざ表[[#This Row],[タイプ]]=$W$2),ゲージわざ表[[#This Row],[DPE]]*タイプ一致係数,ゲージわざ表[[#This Row],[DPE]])</f>
        <v>1.2</v>
      </c>
    </row>
    <row r="57" spans="1:18" ht="16.5" customHeight="1" x14ac:dyDescent="0.45">
      <c r="A57" s="125" t="s">
        <v>26</v>
      </c>
      <c r="B57" s="125" t="s">
        <v>29</v>
      </c>
      <c r="C57" s="468">
        <v>45</v>
      </c>
      <c r="D57" s="91">
        <v>1.6</v>
      </c>
      <c r="E57" s="89">
        <v>28.125</v>
      </c>
      <c r="F57" s="116">
        <v>3</v>
      </c>
      <c r="G57" s="91">
        <v>1.2</v>
      </c>
      <c r="H57" s="468">
        <v>45</v>
      </c>
      <c r="I57" s="116">
        <v>35</v>
      </c>
      <c r="J57" s="91">
        <v>1.2857142857143</v>
      </c>
      <c r="N57" s="473" t="str">
        <f>IF(OR(ゲージわざ表[[#This Row],[タイプ]]=$V$2,ゲージわざ表[[#This Row],[タイプ]]=$W$2),"↑","")</f>
        <v/>
      </c>
      <c r="O57" s="116">
        <f>IF(OR(ゲージわざ表[[#This Row],[タイプ]]=$V$2,ゲージわざ表[[#This Row],[タイプ]]=$W$2),ゲージわざ表[[#This Row],[威力_g]]*タイプ一致係数,ゲージわざ表[[#This Row],[威力_g]])</f>
        <v>45</v>
      </c>
      <c r="P57" s="89">
        <f>IF(OR(ゲージわざ表[[#This Row],[タイプ]]=$V$2,ゲージわざ表[[#This Row],[タイプ]]=$W$2),ゲージわざ表[[#This Row],[DPS]]*タイプ一致係数,ゲージわざ表[[#This Row],[DPS]])</f>
        <v>28.125</v>
      </c>
      <c r="Q57" s="116">
        <f>IF(OR(ゲージわざ表[[#This Row],[タイプ]]=$V$2,ゲージわざ表[[#This Row],[タイプ]]=$W$2),ゲージわざ表[[#This Row],[威力_m]]*タイプ一致係数,ゲージわざ表[[#This Row],[威力_m]])</f>
        <v>45</v>
      </c>
      <c r="R57" s="91">
        <f>IF(OR(ゲージわざ表[[#This Row],[タイプ]]=$V$2,ゲージわざ表[[#This Row],[タイプ]]=$W$2),ゲージわざ表[[#This Row],[DPE]]*タイプ一致係数,ゲージわざ表[[#This Row],[DPE]])</f>
        <v>1.2857142857143</v>
      </c>
    </row>
    <row r="58" spans="1:18" x14ac:dyDescent="0.45">
      <c r="A58" s="130" t="s">
        <v>79</v>
      </c>
      <c r="B58" s="130" t="s">
        <v>3</v>
      </c>
      <c r="C58" s="468">
        <v>140</v>
      </c>
      <c r="D58" s="91">
        <v>3.6</v>
      </c>
      <c r="E58" s="89">
        <v>38.888888888888999</v>
      </c>
      <c r="F58" s="116">
        <v>1</v>
      </c>
      <c r="G58" s="91">
        <v>2.7</v>
      </c>
      <c r="H58" s="468">
        <v>120</v>
      </c>
      <c r="I58" s="116">
        <v>65</v>
      </c>
      <c r="J58" s="91">
        <v>1.8461538461538001</v>
      </c>
      <c r="N58" s="473" t="str">
        <f>IF(OR(ゲージわざ表[[#This Row],[タイプ]]=$V$2,ゲージわざ表[[#This Row],[タイプ]]=$W$2),"↑","")</f>
        <v/>
      </c>
      <c r="O58" s="116">
        <f>IF(OR(ゲージわざ表[[#This Row],[タイプ]]=$V$2,ゲージわざ表[[#This Row],[タイプ]]=$W$2),ゲージわざ表[[#This Row],[威力_g]]*タイプ一致係数,ゲージわざ表[[#This Row],[威力_g]])</f>
        <v>140</v>
      </c>
      <c r="P58" s="89">
        <f>IF(OR(ゲージわざ表[[#This Row],[タイプ]]=$V$2,ゲージわざ表[[#This Row],[タイプ]]=$W$2),ゲージわざ表[[#This Row],[DPS]]*タイプ一致係数,ゲージわざ表[[#This Row],[DPS]])</f>
        <v>38.888888888888999</v>
      </c>
      <c r="Q58" s="116">
        <f>IF(OR(ゲージわざ表[[#This Row],[タイプ]]=$V$2,ゲージわざ表[[#This Row],[タイプ]]=$W$2),ゲージわざ表[[#This Row],[威力_m]]*タイプ一致係数,ゲージわざ表[[#This Row],[威力_m]])</f>
        <v>120</v>
      </c>
      <c r="R58" s="91">
        <f>IF(OR(ゲージわざ表[[#This Row],[タイプ]]=$V$2,ゲージわざ表[[#This Row],[タイプ]]=$W$2),ゲージわざ表[[#This Row],[DPE]]*タイプ一致係数,ゲージわざ表[[#This Row],[DPE]])</f>
        <v>1.8461538461538001</v>
      </c>
    </row>
    <row r="59" spans="1:18" ht="16.5" customHeight="1" x14ac:dyDescent="0.45">
      <c r="A59" s="130" t="s">
        <v>1504</v>
      </c>
      <c r="B59" s="130" t="s">
        <v>3</v>
      </c>
      <c r="C59" s="468">
        <v>80</v>
      </c>
      <c r="D59" s="91">
        <v>3.5</v>
      </c>
      <c r="E59" s="89">
        <v>22.857142857143</v>
      </c>
      <c r="F59" s="116">
        <v>2</v>
      </c>
      <c r="G59" s="91">
        <v>2.6</v>
      </c>
      <c r="H59" s="468">
        <v>80</v>
      </c>
      <c r="I59" s="116">
        <v>60</v>
      </c>
      <c r="J59" s="91">
        <v>1.3333333333333</v>
      </c>
      <c r="N59" s="473" t="str">
        <f>IF(OR(ゲージわざ表[[#This Row],[タイプ]]=$V$2,ゲージわざ表[[#This Row],[タイプ]]=$W$2),"↑","")</f>
        <v/>
      </c>
      <c r="O59" s="116">
        <f>IF(OR(ゲージわざ表[[#This Row],[タイプ]]=$V$2,ゲージわざ表[[#This Row],[タイプ]]=$W$2),ゲージわざ表[[#This Row],[威力_g]]*タイプ一致係数,ゲージわざ表[[#This Row],[威力_g]])</f>
        <v>80</v>
      </c>
      <c r="P59" s="89">
        <f>IF(OR(ゲージわざ表[[#This Row],[タイプ]]=$V$2,ゲージわざ表[[#This Row],[タイプ]]=$W$2),ゲージわざ表[[#This Row],[DPS]]*タイプ一致係数,ゲージわざ表[[#This Row],[DPS]])</f>
        <v>22.857142857143</v>
      </c>
      <c r="Q59" s="116">
        <f>IF(OR(ゲージわざ表[[#This Row],[タイプ]]=$V$2,ゲージわざ表[[#This Row],[タイプ]]=$W$2),ゲージわざ表[[#This Row],[威力_m]]*タイプ一致係数,ゲージわざ表[[#This Row],[威力_m]])</f>
        <v>80</v>
      </c>
      <c r="R59" s="91">
        <f>IF(OR(ゲージわざ表[[#This Row],[タイプ]]=$V$2,ゲージわざ表[[#This Row],[タイプ]]=$W$2),ゲージわざ表[[#This Row],[DPE]]*タイプ一致係数,ゲージわざ表[[#This Row],[DPE]])</f>
        <v>1.3333333333333</v>
      </c>
    </row>
    <row r="60" spans="1:18" x14ac:dyDescent="0.45">
      <c r="A60" s="124" t="s">
        <v>194</v>
      </c>
      <c r="B60" s="124" t="s">
        <v>4</v>
      </c>
      <c r="C60" s="468">
        <v>80</v>
      </c>
      <c r="D60" s="91">
        <v>3.3</v>
      </c>
      <c r="E60" s="89">
        <v>24.242424242424001</v>
      </c>
      <c r="F60" s="116">
        <v>2</v>
      </c>
      <c r="G60" s="91">
        <v>3</v>
      </c>
      <c r="H60" s="468">
        <v>80</v>
      </c>
      <c r="I60" s="116">
        <v>60</v>
      </c>
      <c r="J60" s="91">
        <v>1.3333333333333</v>
      </c>
      <c r="N60" s="473" t="str">
        <f>IF(OR(ゲージわざ表[[#This Row],[タイプ]]=$V$2,ゲージわざ表[[#This Row],[タイプ]]=$W$2),"↑","")</f>
        <v/>
      </c>
      <c r="O60" s="116">
        <f>IF(OR(ゲージわざ表[[#This Row],[タイプ]]=$V$2,ゲージわざ表[[#This Row],[タイプ]]=$W$2),ゲージわざ表[[#This Row],[威力_g]]*タイプ一致係数,ゲージわざ表[[#This Row],[威力_g]])</f>
        <v>80</v>
      </c>
      <c r="P60" s="89">
        <f>IF(OR(ゲージわざ表[[#This Row],[タイプ]]=$V$2,ゲージわざ表[[#This Row],[タイプ]]=$W$2),ゲージわざ表[[#This Row],[DPS]]*タイプ一致係数,ゲージわざ表[[#This Row],[DPS]])</f>
        <v>24.242424242424001</v>
      </c>
      <c r="Q60" s="116">
        <f>IF(OR(ゲージわざ表[[#This Row],[タイプ]]=$V$2,ゲージわざ表[[#This Row],[タイプ]]=$W$2),ゲージわざ表[[#This Row],[威力_m]]*タイプ一致係数,ゲージわざ表[[#This Row],[威力_m]])</f>
        <v>80</v>
      </c>
      <c r="R60" s="91">
        <f>IF(OR(ゲージわざ表[[#This Row],[タイプ]]=$V$2,ゲージわざ表[[#This Row],[タイプ]]=$W$2),ゲージわざ表[[#This Row],[DPE]]*タイプ一致係数,ゲージわざ表[[#This Row],[DPE]])</f>
        <v>1.3333333333333</v>
      </c>
    </row>
    <row r="61" spans="1:18" x14ac:dyDescent="0.45">
      <c r="A61" s="133" t="s">
        <v>1481</v>
      </c>
      <c r="B61" s="133" t="s">
        <v>16</v>
      </c>
      <c r="C61" s="468">
        <v>40</v>
      </c>
      <c r="D61" s="91">
        <v>1.7</v>
      </c>
      <c r="E61" s="89">
        <v>23.529411764706001</v>
      </c>
      <c r="F61" s="116">
        <v>3</v>
      </c>
      <c r="G61" s="91">
        <v>1.3</v>
      </c>
      <c r="H61" s="468">
        <v>40</v>
      </c>
      <c r="I61" s="116">
        <v>35</v>
      </c>
      <c r="J61" s="91">
        <v>1.1428571428570999</v>
      </c>
      <c r="N61" s="473" t="str">
        <f>IF(OR(ゲージわざ表[[#This Row],[タイプ]]=$V$2,ゲージわざ表[[#This Row],[タイプ]]=$W$2),"↑","")</f>
        <v/>
      </c>
      <c r="O61" s="116">
        <f>IF(OR(ゲージわざ表[[#This Row],[タイプ]]=$V$2,ゲージわざ表[[#This Row],[タイプ]]=$W$2),ゲージわざ表[[#This Row],[威力_g]]*タイプ一致係数,ゲージわざ表[[#This Row],[威力_g]])</f>
        <v>40</v>
      </c>
      <c r="P61" s="89">
        <f>IF(OR(ゲージわざ表[[#This Row],[タイプ]]=$V$2,ゲージわざ表[[#This Row],[タイプ]]=$W$2),ゲージわざ表[[#This Row],[DPS]]*タイプ一致係数,ゲージわざ表[[#This Row],[DPS]])</f>
        <v>23.529411764706001</v>
      </c>
      <c r="Q61" s="116">
        <f>IF(OR(ゲージわざ表[[#This Row],[タイプ]]=$V$2,ゲージわざ表[[#This Row],[タイプ]]=$W$2),ゲージわざ表[[#This Row],[威力_m]]*タイプ一致係数,ゲージわざ表[[#This Row],[威力_m]])</f>
        <v>40</v>
      </c>
      <c r="R61" s="91">
        <f>IF(OR(ゲージわざ表[[#This Row],[タイプ]]=$V$2,ゲージわざ表[[#This Row],[タイプ]]=$W$2),ゲージわざ表[[#This Row],[DPE]]*タイプ一致係数,ゲージわざ表[[#This Row],[DPE]])</f>
        <v>1.1428571428570999</v>
      </c>
    </row>
    <row r="62" spans="1:18" ht="16.5" customHeight="1" x14ac:dyDescent="0.45">
      <c r="A62" s="133" t="s">
        <v>73</v>
      </c>
      <c r="B62" s="133" t="s">
        <v>16</v>
      </c>
      <c r="C62" s="468">
        <v>100</v>
      </c>
      <c r="D62" s="91">
        <v>3</v>
      </c>
      <c r="E62" s="89">
        <v>33.333333333333002</v>
      </c>
      <c r="F62" s="116">
        <v>2</v>
      </c>
      <c r="G62" s="91">
        <v>2.4</v>
      </c>
      <c r="H62" s="468">
        <v>100</v>
      </c>
      <c r="I62" s="116">
        <v>55</v>
      </c>
      <c r="J62" s="91">
        <v>1.8181818181817999</v>
      </c>
      <c r="N62" s="473" t="str">
        <f>IF(OR(ゲージわざ表[[#This Row],[タイプ]]=$V$2,ゲージわざ表[[#This Row],[タイプ]]=$W$2),"↑","")</f>
        <v/>
      </c>
      <c r="O62" s="116">
        <f>IF(OR(ゲージわざ表[[#This Row],[タイプ]]=$V$2,ゲージわざ表[[#This Row],[タイプ]]=$W$2),ゲージわざ表[[#This Row],[威力_g]]*タイプ一致係数,ゲージわざ表[[#This Row],[威力_g]])</f>
        <v>100</v>
      </c>
      <c r="P62" s="89">
        <f>IF(OR(ゲージわざ表[[#This Row],[タイプ]]=$V$2,ゲージわざ表[[#This Row],[タイプ]]=$W$2),ゲージわざ表[[#This Row],[DPS]]*タイプ一致係数,ゲージわざ表[[#This Row],[DPS]])</f>
        <v>33.333333333333002</v>
      </c>
      <c r="Q62" s="116">
        <f>IF(OR(ゲージわざ表[[#This Row],[タイプ]]=$V$2,ゲージわざ表[[#This Row],[タイプ]]=$W$2),ゲージわざ表[[#This Row],[威力_m]]*タイプ一致係数,ゲージわざ表[[#This Row],[威力_m]])</f>
        <v>100</v>
      </c>
      <c r="R62" s="91">
        <f>IF(OR(ゲージわざ表[[#This Row],[タイプ]]=$V$2,ゲージわざ表[[#This Row],[タイプ]]=$W$2),ゲージわざ表[[#This Row],[DPE]]*タイプ一致係数,ゲージわざ表[[#This Row],[DPE]])</f>
        <v>1.8181818181817999</v>
      </c>
    </row>
    <row r="63" spans="1:18" ht="16.5" customHeight="1" x14ac:dyDescent="0.45">
      <c r="A63" s="126" t="s">
        <v>84</v>
      </c>
      <c r="B63" s="126" t="s">
        <v>61</v>
      </c>
      <c r="C63" s="468">
        <v>90</v>
      </c>
      <c r="D63" s="91">
        <v>2.9</v>
      </c>
      <c r="E63" s="89">
        <v>31.034482758620999</v>
      </c>
      <c r="F63" s="116">
        <v>2</v>
      </c>
      <c r="G63" s="91">
        <v>1.3</v>
      </c>
      <c r="H63" s="468">
        <v>90</v>
      </c>
      <c r="I63" s="116">
        <v>60</v>
      </c>
      <c r="J63" s="91">
        <v>1.5</v>
      </c>
      <c r="N63" s="473" t="str">
        <f>IF(OR(ゲージわざ表[[#This Row],[タイプ]]=$V$2,ゲージわざ表[[#This Row],[タイプ]]=$W$2),"↑","")</f>
        <v/>
      </c>
      <c r="O63" s="116">
        <f>IF(OR(ゲージわざ表[[#This Row],[タイプ]]=$V$2,ゲージわざ表[[#This Row],[タイプ]]=$W$2),ゲージわざ表[[#This Row],[威力_g]]*タイプ一致係数,ゲージわざ表[[#This Row],[威力_g]])</f>
        <v>90</v>
      </c>
      <c r="P63" s="89">
        <f>IF(OR(ゲージわざ表[[#This Row],[タイプ]]=$V$2,ゲージわざ表[[#This Row],[タイプ]]=$W$2),ゲージわざ表[[#This Row],[DPS]]*タイプ一致係数,ゲージわざ表[[#This Row],[DPS]])</f>
        <v>31.034482758620999</v>
      </c>
      <c r="Q63" s="116">
        <f>IF(OR(ゲージわざ表[[#This Row],[タイプ]]=$V$2,ゲージわざ表[[#This Row],[タイプ]]=$W$2),ゲージわざ表[[#This Row],[威力_m]]*タイプ一致係数,ゲージわざ表[[#This Row],[威力_m]])</f>
        <v>90</v>
      </c>
      <c r="R63" s="91">
        <f>IF(OR(ゲージわざ表[[#This Row],[タイプ]]=$V$2,ゲージわざ表[[#This Row],[タイプ]]=$W$2),ゲージわざ表[[#This Row],[DPE]]*タイプ一致係数,ゲージわざ表[[#This Row],[DPE]])</f>
        <v>1.5</v>
      </c>
    </row>
    <row r="64" spans="1:18" ht="16.5" customHeight="1" x14ac:dyDescent="0.45">
      <c r="A64" s="127" t="s">
        <v>1540</v>
      </c>
      <c r="B64" s="127" t="s">
        <v>18</v>
      </c>
      <c r="C64" s="468">
        <v>80</v>
      </c>
      <c r="D64" s="91">
        <v>2.6</v>
      </c>
      <c r="E64" s="89">
        <v>30.769230769231001</v>
      </c>
      <c r="F64" s="116">
        <v>2</v>
      </c>
      <c r="G64" s="91">
        <v>0.85</v>
      </c>
      <c r="H64" s="468">
        <v>80</v>
      </c>
      <c r="I64" s="116">
        <v>50</v>
      </c>
      <c r="J64" s="91">
        <v>1.6</v>
      </c>
      <c r="N64" s="473" t="str">
        <f>IF(OR(ゲージわざ表[[#This Row],[タイプ]]=$V$2,ゲージわざ表[[#This Row],[タイプ]]=$W$2),"↑","")</f>
        <v/>
      </c>
      <c r="O64" s="116">
        <f>IF(OR(ゲージわざ表[[#This Row],[タイプ]]=$V$2,ゲージわざ表[[#This Row],[タイプ]]=$W$2),ゲージわざ表[[#This Row],[威力_g]]*タイプ一致係数,ゲージわざ表[[#This Row],[威力_g]])</f>
        <v>80</v>
      </c>
      <c r="P64" s="89">
        <f>IF(OR(ゲージわざ表[[#This Row],[タイプ]]=$V$2,ゲージわざ表[[#This Row],[タイプ]]=$W$2),ゲージわざ表[[#This Row],[DPS]]*タイプ一致係数,ゲージわざ表[[#This Row],[DPS]])</f>
        <v>30.769230769231001</v>
      </c>
      <c r="Q64" s="116">
        <f>IF(OR(ゲージわざ表[[#This Row],[タイプ]]=$V$2,ゲージわざ表[[#This Row],[タイプ]]=$W$2),ゲージわざ表[[#This Row],[威力_m]]*タイプ一致係数,ゲージわざ表[[#This Row],[威力_m]])</f>
        <v>80</v>
      </c>
      <c r="R64" s="91">
        <f>IF(OR(ゲージわざ表[[#This Row],[タイプ]]=$V$2,ゲージわざ表[[#This Row],[タイプ]]=$W$2),ゲージわざ表[[#This Row],[DPE]]*タイプ一致係数,ゲージわざ表[[#This Row],[DPE]])</f>
        <v>1.6</v>
      </c>
    </row>
    <row r="65" spans="1:18" ht="16.5" customHeight="1" x14ac:dyDescent="0.45">
      <c r="A65" s="119" t="s">
        <v>87</v>
      </c>
      <c r="B65" s="119" t="s">
        <v>43</v>
      </c>
      <c r="C65" s="468">
        <v>100</v>
      </c>
      <c r="D65" s="91">
        <v>2.2999999999999998</v>
      </c>
      <c r="E65" s="89">
        <v>43.478260869564998</v>
      </c>
      <c r="F65" s="116">
        <v>1</v>
      </c>
      <c r="G65" s="91">
        <v>0.7</v>
      </c>
      <c r="H65" s="468">
        <v>100</v>
      </c>
      <c r="I65" s="116">
        <v>55</v>
      </c>
      <c r="J65" s="91">
        <v>1.8181818181817999</v>
      </c>
      <c r="N65" s="473" t="str">
        <f>IF(OR(ゲージわざ表[[#This Row],[タイプ]]=$V$2,ゲージわざ表[[#This Row],[タイプ]]=$W$2),"↑","")</f>
        <v/>
      </c>
      <c r="O65" s="116">
        <f>IF(OR(ゲージわざ表[[#This Row],[タイプ]]=$V$2,ゲージわざ表[[#This Row],[タイプ]]=$W$2),ゲージわざ表[[#This Row],[威力_g]]*タイプ一致係数,ゲージわざ表[[#This Row],[威力_g]])</f>
        <v>100</v>
      </c>
      <c r="P65" s="89">
        <f>IF(OR(ゲージわざ表[[#This Row],[タイプ]]=$V$2,ゲージわざ表[[#This Row],[タイプ]]=$W$2),ゲージわざ表[[#This Row],[DPS]]*タイプ一致係数,ゲージわざ表[[#This Row],[DPS]])</f>
        <v>43.478260869564998</v>
      </c>
      <c r="Q65" s="116">
        <f>IF(OR(ゲージわざ表[[#This Row],[タイプ]]=$V$2,ゲージわざ表[[#This Row],[タイプ]]=$W$2),ゲージわざ表[[#This Row],[威力_m]]*タイプ一致係数,ゲージわざ表[[#This Row],[威力_m]])</f>
        <v>100</v>
      </c>
      <c r="R65" s="91">
        <f>IF(OR(ゲージわざ表[[#This Row],[タイプ]]=$V$2,ゲージわざ表[[#This Row],[タイプ]]=$W$2),ゲージわざ表[[#This Row],[DPE]]*タイプ一致係数,ゲージわざ表[[#This Row],[DPE]])</f>
        <v>1.8181818181817999</v>
      </c>
    </row>
    <row r="66" spans="1:18" x14ac:dyDescent="0.45">
      <c r="A66" s="130" t="s">
        <v>1492</v>
      </c>
      <c r="B66" s="130" t="s">
        <v>3</v>
      </c>
      <c r="C66" s="468">
        <v>60</v>
      </c>
      <c r="D66" s="91">
        <v>4</v>
      </c>
      <c r="E66" s="89">
        <v>15</v>
      </c>
      <c r="F66" s="116">
        <v>3</v>
      </c>
      <c r="G66" s="91">
        <v>1.7</v>
      </c>
      <c r="H66" s="468">
        <v>25</v>
      </c>
      <c r="I66" s="116">
        <v>40</v>
      </c>
      <c r="J66" s="91">
        <v>0.625</v>
      </c>
      <c r="K66" s="90" t="s">
        <v>1770</v>
      </c>
      <c r="L66" s="90">
        <v>1</v>
      </c>
      <c r="M66" s="90">
        <v>1</v>
      </c>
      <c r="N66" s="473" t="str">
        <f>IF(OR(ゲージわざ表[[#This Row],[タイプ]]=$V$2,ゲージわざ表[[#This Row],[タイプ]]=$W$2),"↑","")</f>
        <v/>
      </c>
      <c r="O66" s="116">
        <f>IF(OR(ゲージわざ表[[#This Row],[タイプ]]=$V$2,ゲージわざ表[[#This Row],[タイプ]]=$W$2),ゲージわざ表[[#This Row],[威力_g]]*タイプ一致係数,ゲージわざ表[[#This Row],[威力_g]])</f>
        <v>60</v>
      </c>
      <c r="P66" s="89">
        <f>IF(OR(ゲージわざ表[[#This Row],[タイプ]]=$V$2,ゲージわざ表[[#This Row],[タイプ]]=$W$2),ゲージわざ表[[#This Row],[DPS]]*タイプ一致係数,ゲージわざ表[[#This Row],[DPS]])</f>
        <v>15</v>
      </c>
      <c r="Q66" s="116">
        <f>IF(OR(ゲージわざ表[[#This Row],[タイプ]]=$V$2,ゲージわざ表[[#This Row],[タイプ]]=$W$2),ゲージわざ表[[#This Row],[威力_m]]*タイプ一致係数,ゲージわざ表[[#This Row],[威力_m]])</f>
        <v>25</v>
      </c>
      <c r="R66" s="91">
        <f>IF(OR(ゲージわざ表[[#This Row],[タイプ]]=$V$2,ゲージわざ表[[#This Row],[タイプ]]=$W$2),ゲージわざ表[[#This Row],[DPE]]*タイプ一致係数,ゲージわざ表[[#This Row],[DPE]])</f>
        <v>0.625</v>
      </c>
    </row>
    <row r="67" spans="1:18" ht="16.5" customHeight="1" x14ac:dyDescent="0.45">
      <c r="A67" s="117" t="s">
        <v>120</v>
      </c>
      <c r="B67" s="117" t="s">
        <v>68</v>
      </c>
      <c r="C67" s="468">
        <v>60</v>
      </c>
      <c r="D67" s="91">
        <v>2.8</v>
      </c>
      <c r="E67" s="89">
        <v>21.428571428571001</v>
      </c>
      <c r="F67" s="116">
        <v>2</v>
      </c>
      <c r="G67" s="91">
        <v>2</v>
      </c>
      <c r="H67" s="468">
        <v>60</v>
      </c>
      <c r="I67" s="116">
        <v>55</v>
      </c>
      <c r="J67" s="91">
        <v>1.0909090909090999</v>
      </c>
      <c r="N67" s="473" t="str">
        <f>IF(OR(ゲージわざ表[[#This Row],[タイプ]]=$V$2,ゲージわざ表[[#This Row],[タイプ]]=$W$2),"↑","")</f>
        <v/>
      </c>
      <c r="O67" s="116">
        <f>IF(OR(ゲージわざ表[[#This Row],[タイプ]]=$V$2,ゲージわざ表[[#This Row],[タイプ]]=$W$2),ゲージわざ表[[#This Row],[威力_g]]*タイプ一致係数,ゲージわざ表[[#This Row],[威力_g]])</f>
        <v>60</v>
      </c>
      <c r="P67" s="89">
        <f>IF(OR(ゲージわざ表[[#This Row],[タイプ]]=$V$2,ゲージわざ表[[#This Row],[タイプ]]=$W$2),ゲージわざ表[[#This Row],[DPS]]*タイプ一致係数,ゲージわざ表[[#This Row],[DPS]])</f>
        <v>21.428571428571001</v>
      </c>
      <c r="Q67" s="116">
        <f>IF(OR(ゲージわざ表[[#This Row],[タイプ]]=$V$2,ゲージわざ表[[#This Row],[タイプ]]=$W$2),ゲージわざ表[[#This Row],[威力_m]]*タイプ一致係数,ゲージわざ表[[#This Row],[威力_m]])</f>
        <v>60</v>
      </c>
      <c r="R67" s="91">
        <f>IF(OR(ゲージわざ表[[#This Row],[タイプ]]=$V$2,ゲージわざ表[[#This Row],[タイプ]]=$W$2),ゲージわざ表[[#This Row],[DPE]]*タイプ一致係数,ゲージわざ表[[#This Row],[DPE]])</f>
        <v>1.0909090909090999</v>
      </c>
    </row>
    <row r="68" spans="1:18" ht="16.5" customHeight="1" x14ac:dyDescent="0.45">
      <c r="A68" s="123" t="s">
        <v>9</v>
      </c>
      <c r="B68" s="123" t="s">
        <v>12</v>
      </c>
      <c r="C68" s="468">
        <v>180</v>
      </c>
      <c r="D68" s="91">
        <v>4.9000000000000004</v>
      </c>
      <c r="E68" s="89">
        <v>36.734693877551003</v>
      </c>
      <c r="F68" s="116">
        <v>1</v>
      </c>
      <c r="G68" s="91">
        <v>2.7</v>
      </c>
      <c r="H68" s="468">
        <v>150</v>
      </c>
      <c r="I68" s="116">
        <v>80</v>
      </c>
      <c r="J68" s="91">
        <v>1.875</v>
      </c>
      <c r="N68" s="473" t="str">
        <f>IF(OR(ゲージわざ表[[#This Row],[タイプ]]=$V$2,ゲージわざ表[[#This Row],[タイプ]]=$W$2),"↑","")</f>
        <v/>
      </c>
      <c r="O68" s="116">
        <f>IF(OR(ゲージわざ表[[#This Row],[タイプ]]=$V$2,ゲージわざ表[[#This Row],[タイプ]]=$W$2),ゲージわざ表[[#This Row],[威力_g]]*タイプ一致係数,ゲージわざ表[[#This Row],[威力_g]])</f>
        <v>180</v>
      </c>
      <c r="P68" s="89">
        <f>IF(OR(ゲージわざ表[[#This Row],[タイプ]]=$V$2,ゲージわざ表[[#This Row],[タイプ]]=$W$2),ゲージわざ表[[#This Row],[DPS]]*タイプ一致係数,ゲージわざ表[[#This Row],[DPS]])</f>
        <v>36.734693877551003</v>
      </c>
      <c r="Q68" s="116">
        <f>IF(OR(ゲージわざ表[[#This Row],[タイプ]]=$V$2,ゲージわざ表[[#This Row],[タイプ]]=$W$2),ゲージわざ表[[#This Row],[威力_m]]*タイプ一致係数,ゲージわざ表[[#This Row],[威力_m]])</f>
        <v>150</v>
      </c>
      <c r="R68" s="91">
        <f>IF(OR(ゲージわざ表[[#This Row],[タイプ]]=$V$2,ゲージわざ表[[#This Row],[タイプ]]=$W$2),ゲージわざ表[[#This Row],[DPE]]*タイプ一致係数,ゲージわざ表[[#This Row],[DPE]])</f>
        <v>1.875</v>
      </c>
    </row>
    <row r="69" spans="1:18" ht="16.5" customHeight="1" x14ac:dyDescent="0.45">
      <c r="A69" s="130" t="s">
        <v>153</v>
      </c>
      <c r="B69" s="130" t="s">
        <v>3</v>
      </c>
      <c r="C69" s="468">
        <v>100</v>
      </c>
      <c r="D69" s="91">
        <v>3.6</v>
      </c>
      <c r="E69" s="89">
        <v>27.777777777777999</v>
      </c>
      <c r="F69" s="116">
        <v>2</v>
      </c>
      <c r="G69" s="91">
        <v>2.7</v>
      </c>
      <c r="H69" s="468">
        <v>90</v>
      </c>
      <c r="I69" s="116">
        <v>55</v>
      </c>
      <c r="J69" s="91">
        <v>1.6363636363636</v>
      </c>
      <c r="K69" s="90" t="s">
        <v>1770</v>
      </c>
      <c r="L69" s="90">
        <v>1</v>
      </c>
      <c r="M69" s="90">
        <v>0.1</v>
      </c>
      <c r="N69" s="473" t="str">
        <f>IF(OR(ゲージわざ表[[#This Row],[タイプ]]=$V$2,ゲージわざ表[[#This Row],[タイプ]]=$W$2),"↑","")</f>
        <v/>
      </c>
      <c r="O69" s="116">
        <f>IF(OR(ゲージわざ表[[#This Row],[タイプ]]=$V$2,ゲージわざ表[[#This Row],[タイプ]]=$W$2),ゲージわざ表[[#This Row],[威力_g]]*タイプ一致係数,ゲージわざ表[[#This Row],[威力_g]])</f>
        <v>100</v>
      </c>
      <c r="P69" s="89">
        <f>IF(OR(ゲージわざ表[[#This Row],[タイプ]]=$V$2,ゲージわざ表[[#This Row],[タイプ]]=$W$2),ゲージわざ表[[#This Row],[DPS]]*タイプ一致係数,ゲージわざ表[[#This Row],[DPS]])</f>
        <v>27.777777777777999</v>
      </c>
      <c r="Q69" s="116">
        <f>IF(OR(ゲージわざ表[[#This Row],[タイプ]]=$V$2,ゲージわざ表[[#This Row],[タイプ]]=$W$2),ゲージわざ表[[#This Row],[威力_m]]*タイプ一致係数,ゲージわざ表[[#This Row],[威力_m]])</f>
        <v>90</v>
      </c>
      <c r="R69" s="91">
        <f>IF(OR(ゲージわざ表[[#This Row],[タイプ]]=$V$2,ゲージわざ表[[#This Row],[タイプ]]=$W$2),ゲージわざ表[[#This Row],[DPE]]*タイプ一致係数,ゲージわざ表[[#This Row],[DPE]])</f>
        <v>1.6363636363636</v>
      </c>
    </row>
    <row r="70" spans="1:18" ht="16.5" customHeight="1" x14ac:dyDescent="0.45">
      <c r="A70" s="129" t="s">
        <v>19</v>
      </c>
      <c r="B70" s="129" t="s">
        <v>22</v>
      </c>
      <c r="C70" s="468">
        <v>140</v>
      </c>
      <c r="D70" s="91">
        <v>4.2</v>
      </c>
      <c r="E70" s="89">
        <v>33.333333333333002</v>
      </c>
      <c r="F70" s="116">
        <v>1</v>
      </c>
      <c r="G70" s="91">
        <v>3.1</v>
      </c>
      <c r="H70" s="468">
        <v>140</v>
      </c>
      <c r="I70" s="116">
        <v>80</v>
      </c>
      <c r="J70" s="91">
        <v>1.75</v>
      </c>
      <c r="N70" s="473" t="str">
        <f>IF(OR(ゲージわざ表[[#This Row],[タイプ]]=$V$2,ゲージわざ表[[#This Row],[タイプ]]=$W$2),"↑","")</f>
        <v/>
      </c>
      <c r="O70" s="116">
        <f>IF(OR(ゲージわざ表[[#This Row],[タイプ]]=$V$2,ゲージわざ表[[#This Row],[タイプ]]=$W$2),ゲージわざ表[[#This Row],[威力_g]]*タイプ一致係数,ゲージわざ表[[#This Row],[威力_g]])</f>
        <v>140</v>
      </c>
      <c r="P70" s="89">
        <f>IF(OR(ゲージわざ表[[#This Row],[タイプ]]=$V$2,ゲージわざ表[[#This Row],[タイプ]]=$W$2),ゲージわざ表[[#This Row],[DPS]]*タイプ一致係数,ゲージわざ表[[#This Row],[DPS]])</f>
        <v>33.333333333333002</v>
      </c>
      <c r="Q70" s="116">
        <f>IF(OR(ゲージわざ表[[#This Row],[タイプ]]=$V$2,ゲージわざ表[[#This Row],[タイプ]]=$W$2),ゲージわざ表[[#This Row],[威力_m]]*タイプ一致係数,ゲージわざ表[[#This Row],[威力_m]])</f>
        <v>140</v>
      </c>
      <c r="R70" s="91">
        <f>IF(OR(ゲージわざ表[[#This Row],[タイプ]]=$V$2,ゲージわざ表[[#This Row],[タイプ]]=$W$2),ゲージわざ表[[#This Row],[DPE]]*タイプ一致係数,ゲージわざ表[[#This Row],[DPE]])</f>
        <v>1.75</v>
      </c>
    </row>
    <row r="71" spans="1:18" x14ac:dyDescent="0.45">
      <c r="A71" s="128" t="s">
        <v>178</v>
      </c>
      <c r="B71" s="128" t="s">
        <v>111</v>
      </c>
      <c r="C71" s="468">
        <v>50</v>
      </c>
      <c r="D71" s="91">
        <v>2.2000000000000002</v>
      </c>
      <c r="E71" s="89">
        <v>22.727272727273</v>
      </c>
      <c r="F71" s="116">
        <v>3</v>
      </c>
      <c r="G71" s="91">
        <v>1.2</v>
      </c>
      <c r="H71" s="468">
        <v>35</v>
      </c>
      <c r="I71" s="116">
        <v>35</v>
      </c>
      <c r="J71" s="91">
        <v>1</v>
      </c>
      <c r="K71" s="90" t="s">
        <v>1769</v>
      </c>
      <c r="L71" s="90">
        <v>1</v>
      </c>
      <c r="M71" s="90">
        <v>0.3</v>
      </c>
      <c r="N71" s="473" t="str">
        <f>IF(OR(ゲージわざ表[[#This Row],[タイプ]]=$V$2,ゲージわざ表[[#This Row],[タイプ]]=$W$2),"↑","")</f>
        <v/>
      </c>
      <c r="O71" s="116">
        <f>IF(OR(ゲージわざ表[[#This Row],[タイプ]]=$V$2,ゲージわざ表[[#This Row],[タイプ]]=$W$2),ゲージわざ表[[#This Row],[威力_g]]*タイプ一致係数,ゲージわざ表[[#This Row],[威力_g]])</f>
        <v>50</v>
      </c>
      <c r="P71" s="89">
        <f>IF(OR(ゲージわざ表[[#This Row],[タイプ]]=$V$2,ゲージわざ表[[#This Row],[タイプ]]=$W$2),ゲージわざ表[[#This Row],[DPS]]*タイプ一致係数,ゲージわざ表[[#This Row],[DPS]])</f>
        <v>22.727272727273</v>
      </c>
      <c r="Q71" s="116">
        <f>IF(OR(ゲージわざ表[[#This Row],[タイプ]]=$V$2,ゲージわざ表[[#This Row],[タイプ]]=$W$2),ゲージわざ表[[#This Row],[威力_m]]*タイプ一致係数,ゲージわざ表[[#This Row],[威力_m]])</f>
        <v>35</v>
      </c>
      <c r="R71" s="91">
        <f>IF(OR(ゲージわざ表[[#This Row],[タイプ]]=$V$2,ゲージわざ表[[#This Row],[タイプ]]=$W$2),ゲージわざ表[[#This Row],[DPE]]*タイプ一致係数,ゲージわざ表[[#This Row],[DPE]])</f>
        <v>1</v>
      </c>
    </row>
    <row r="72" spans="1:18" ht="16.5" customHeight="1" x14ac:dyDescent="0.45">
      <c r="A72" s="132" t="s">
        <v>251</v>
      </c>
      <c r="B72" s="132" t="s">
        <v>32</v>
      </c>
      <c r="C72" s="468">
        <v>130</v>
      </c>
      <c r="D72" s="91">
        <v>3.1</v>
      </c>
      <c r="E72" s="89">
        <v>41.935483870968</v>
      </c>
      <c r="F72" s="116">
        <v>1</v>
      </c>
      <c r="G72" s="91">
        <v>1.7</v>
      </c>
      <c r="H72" s="468">
        <v>130</v>
      </c>
      <c r="I72" s="116">
        <v>75</v>
      </c>
      <c r="J72" s="91">
        <v>1.7333333333333001</v>
      </c>
      <c r="N72" s="473" t="str">
        <f>IF(OR(ゲージわざ表[[#This Row],[タイプ]]=$V$2,ゲージわざ表[[#This Row],[タイプ]]=$W$2),"↑","")</f>
        <v/>
      </c>
      <c r="O72" s="116">
        <f>IF(OR(ゲージわざ表[[#This Row],[タイプ]]=$V$2,ゲージわざ表[[#This Row],[タイプ]]=$W$2),ゲージわざ表[[#This Row],[威力_g]]*タイプ一致係数,ゲージわざ表[[#This Row],[威力_g]])</f>
        <v>130</v>
      </c>
      <c r="P72" s="89">
        <f>IF(OR(ゲージわざ表[[#This Row],[タイプ]]=$V$2,ゲージわざ表[[#This Row],[タイプ]]=$W$2),ゲージわざ表[[#This Row],[DPS]]*タイプ一致係数,ゲージわざ表[[#This Row],[DPS]])</f>
        <v>41.935483870968</v>
      </c>
      <c r="Q72" s="116">
        <f>IF(OR(ゲージわざ表[[#This Row],[タイプ]]=$V$2,ゲージわざ表[[#This Row],[タイプ]]=$W$2),ゲージわざ表[[#This Row],[威力_m]]*タイプ一致係数,ゲージわざ表[[#This Row],[威力_m]])</f>
        <v>130</v>
      </c>
      <c r="R72" s="91">
        <f>IF(OR(ゲージわざ表[[#This Row],[タイプ]]=$V$2,ゲージわざ表[[#This Row],[タイプ]]=$W$2),ゲージわざ表[[#This Row],[DPE]]*タイプ一致係数,ゲージわざ表[[#This Row],[DPE]])</f>
        <v>1.7333333333333001</v>
      </c>
    </row>
    <row r="73" spans="1:18" ht="16.5" customHeight="1" x14ac:dyDescent="0.45">
      <c r="A73" s="122" t="s">
        <v>1514</v>
      </c>
      <c r="B73" s="122" t="s">
        <v>90</v>
      </c>
      <c r="C73" s="468">
        <v>45</v>
      </c>
      <c r="D73" s="91">
        <v>2.8</v>
      </c>
      <c r="E73" s="89">
        <v>16.071428571428999</v>
      </c>
      <c r="F73" s="116">
        <v>3</v>
      </c>
      <c r="G73" s="91">
        <v>0.95</v>
      </c>
      <c r="H73" s="468">
        <v>45</v>
      </c>
      <c r="I73" s="116">
        <v>45</v>
      </c>
      <c r="J73" s="91">
        <v>1</v>
      </c>
      <c r="N73" s="473" t="str">
        <f>IF(OR(ゲージわざ表[[#This Row],[タイプ]]=$V$2,ゲージわざ表[[#This Row],[タイプ]]=$W$2),"↑","")</f>
        <v/>
      </c>
      <c r="O73" s="116">
        <f>IF(OR(ゲージわざ表[[#This Row],[タイプ]]=$V$2,ゲージわざ表[[#This Row],[タイプ]]=$W$2),ゲージわざ表[[#This Row],[威力_g]]*タイプ一致係数,ゲージわざ表[[#This Row],[威力_g]])</f>
        <v>45</v>
      </c>
      <c r="P73" s="89">
        <f>IF(OR(ゲージわざ表[[#This Row],[タイプ]]=$V$2,ゲージわざ表[[#This Row],[タイプ]]=$W$2),ゲージわざ表[[#This Row],[DPS]]*タイプ一致係数,ゲージわざ表[[#This Row],[DPS]])</f>
        <v>16.071428571428999</v>
      </c>
      <c r="Q73" s="116">
        <f>IF(OR(ゲージわざ表[[#This Row],[タイプ]]=$V$2,ゲージわざ表[[#This Row],[タイプ]]=$W$2),ゲージわざ表[[#This Row],[威力_m]]*タイプ一致係数,ゲージわざ表[[#This Row],[威力_m]])</f>
        <v>45</v>
      </c>
      <c r="R73" s="91">
        <f>IF(OR(ゲージわざ表[[#This Row],[タイプ]]=$V$2,ゲージわざ表[[#This Row],[タイプ]]=$W$2),ゲージわざ表[[#This Row],[DPE]]*タイプ一致係数,ゲージわざ表[[#This Row],[DPE]])</f>
        <v>1</v>
      </c>
    </row>
    <row r="74" spans="1:18" ht="16.5" customHeight="1" x14ac:dyDescent="0.45">
      <c r="A74" s="123" t="s">
        <v>264</v>
      </c>
      <c r="B74" s="123" t="s">
        <v>12</v>
      </c>
      <c r="C74" s="468">
        <v>55</v>
      </c>
      <c r="D74" s="91">
        <v>2.1</v>
      </c>
      <c r="E74" s="89">
        <v>26.190476190476002</v>
      </c>
      <c r="F74" s="116">
        <v>3</v>
      </c>
      <c r="G74" s="91">
        <v>1.2</v>
      </c>
      <c r="H74" s="468">
        <v>55</v>
      </c>
      <c r="I74" s="116">
        <v>40</v>
      </c>
      <c r="J74" s="91">
        <v>1.375</v>
      </c>
      <c r="N74" s="473" t="str">
        <f>IF(OR(ゲージわざ表[[#This Row],[タイプ]]=$V$2,ゲージわざ表[[#This Row],[タイプ]]=$W$2),"↑","")</f>
        <v/>
      </c>
      <c r="O74" s="116">
        <f>IF(OR(ゲージわざ表[[#This Row],[タイプ]]=$V$2,ゲージわざ表[[#This Row],[タイプ]]=$W$2),ゲージわざ表[[#This Row],[威力_g]]*タイプ一致係数,ゲージわざ表[[#This Row],[威力_g]])</f>
        <v>55</v>
      </c>
      <c r="P74" s="89">
        <f>IF(OR(ゲージわざ表[[#This Row],[タイプ]]=$V$2,ゲージわざ表[[#This Row],[タイプ]]=$W$2),ゲージわざ表[[#This Row],[DPS]]*タイプ一致係数,ゲージわざ表[[#This Row],[DPS]])</f>
        <v>26.190476190476002</v>
      </c>
      <c r="Q74" s="116">
        <f>IF(OR(ゲージわざ表[[#This Row],[タイプ]]=$V$2,ゲージわざ表[[#This Row],[タイプ]]=$W$2),ゲージわざ表[[#This Row],[威力_m]]*タイプ一致係数,ゲージわざ表[[#This Row],[威力_m]])</f>
        <v>55</v>
      </c>
      <c r="R74" s="91">
        <f>IF(OR(ゲージわざ表[[#This Row],[タイプ]]=$V$2,ゲージわざ表[[#This Row],[タイプ]]=$W$2),ゲージわざ表[[#This Row],[DPE]]*タイプ一致係数,ゲージわざ表[[#This Row],[DPE]])</f>
        <v>1.375</v>
      </c>
    </row>
    <row r="75" spans="1:18" ht="16.5" customHeight="1" x14ac:dyDescent="0.45">
      <c r="A75" s="126" t="s">
        <v>1532</v>
      </c>
      <c r="B75" s="126" t="s">
        <v>61</v>
      </c>
      <c r="C75" s="468">
        <v>70</v>
      </c>
      <c r="D75" s="91">
        <v>3.9</v>
      </c>
      <c r="E75" s="89">
        <v>17.948717948717999</v>
      </c>
      <c r="F75" s="116">
        <v>3</v>
      </c>
      <c r="G75" s="91">
        <v>3.2</v>
      </c>
      <c r="H75" s="468">
        <v>70</v>
      </c>
      <c r="I75" s="116">
        <v>45</v>
      </c>
      <c r="J75" s="91">
        <v>1.5555555555556</v>
      </c>
      <c r="N75" s="473" t="str">
        <f>IF(OR(ゲージわざ表[[#This Row],[タイプ]]=$V$2,ゲージわざ表[[#This Row],[タイプ]]=$W$2),"↑","")</f>
        <v/>
      </c>
      <c r="O75" s="116">
        <f>IF(OR(ゲージわざ表[[#This Row],[タイプ]]=$V$2,ゲージわざ表[[#This Row],[タイプ]]=$W$2),ゲージわざ表[[#This Row],[威力_g]]*タイプ一致係数,ゲージわざ表[[#This Row],[威力_g]])</f>
        <v>70</v>
      </c>
      <c r="P75" s="89">
        <f>IF(OR(ゲージわざ表[[#This Row],[タイプ]]=$V$2,ゲージわざ表[[#This Row],[タイプ]]=$W$2),ゲージわざ表[[#This Row],[DPS]]*タイプ一致係数,ゲージわざ表[[#This Row],[DPS]])</f>
        <v>17.948717948717999</v>
      </c>
      <c r="Q75" s="116">
        <f>IF(OR(ゲージわざ表[[#This Row],[タイプ]]=$V$2,ゲージわざ表[[#This Row],[タイプ]]=$W$2),ゲージわざ表[[#This Row],[威力_m]]*タイプ一致係数,ゲージわざ表[[#This Row],[威力_m]])</f>
        <v>70</v>
      </c>
      <c r="R75" s="91">
        <f>IF(OR(ゲージわざ表[[#This Row],[タイプ]]=$V$2,ゲージわざ表[[#This Row],[タイプ]]=$W$2),ゲージわざ表[[#This Row],[DPE]]*タイプ一致係数,ゲージわざ表[[#This Row],[DPE]])</f>
        <v>1.5555555555556</v>
      </c>
    </row>
    <row r="76" spans="1:18" ht="16.5" customHeight="1" x14ac:dyDescent="0.45">
      <c r="A76" s="134" t="s">
        <v>1491</v>
      </c>
      <c r="B76" s="134" t="s">
        <v>78</v>
      </c>
      <c r="C76" s="468">
        <v>50</v>
      </c>
      <c r="D76" s="91">
        <v>2.2000000000000002</v>
      </c>
      <c r="E76" s="89">
        <v>22.727272727273</v>
      </c>
      <c r="F76" s="116">
        <v>3</v>
      </c>
      <c r="G76" s="91">
        <v>1.3</v>
      </c>
      <c r="H76" s="468">
        <v>50</v>
      </c>
      <c r="I76" s="116">
        <v>35</v>
      </c>
      <c r="J76" s="91">
        <v>1.4285714285714</v>
      </c>
      <c r="K76" s="90" t="s">
        <v>1771</v>
      </c>
      <c r="L76" s="90">
        <v>2</v>
      </c>
      <c r="M76" s="90">
        <v>0.125</v>
      </c>
      <c r="N76" s="473" t="str">
        <f>IF(OR(ゲージわざ表[[#This Row],[タイプ]]=$V$2,ゲージわざ表[[#This Row],[タイプ]]=$W$2),"↑","")</f>
        <v/>
      </c>
      <c r="O76" s="116">
        <f>IF(OR(ゲージわざ表[[#This Row],[タイプ]]=$V$2,ゲージわざ表[[#This Row],[タイプ]]=$W$2),ゲージわざ表[[#This Row],[威力_g]]*タイプ一致係数,ゲージわざ表[[#This Row],[威力_g]])</f>
        <v>50</v>
      </c>
      <c r="P76" s="89">
        <f>IF(OR(ゲージわざ表[[#This Row],[タイプ]]=$V$2,ゲージわざ表[[#This Row],[タイプ]]=$W$2),ゲージわざ表[[#This Row],[DPS]]*タイプ一致係数,ゲージわざ表[[#This Row],[DPS]])</f>
        <v>22.727272727273</v>
      </c>
      <c r="Q76" s="116">
        <f>IF(OR(ゲージわざ表[[#This Row],[タイプ]]=$V$2,ゲージわざ表[[#This Row],[タイプ]]=$W$2),ゲージわざ表[[#This Row],[威力_m]]*タイプ一致係数,ゲージわざ表[[#This Row],[威力_m]])</f>
        <v>50</v>
      </c>
      <c r="R76" s="91">
        <f>IF(OR(ゲージわざ表[[#This Row],[タイプ]]=$V$2,ゲージわざ表[[#This Row],[タイプ]]=$W$2),ゲージわざ表[[#This Row],[DPE]]*タイプ一致係数,ゲージわざ表[[#This Row],[DPE]])</f>
        <v>1.4285714285714</v>
      </c>
    </row>
    <row r="77" spans="1:18" ht="16.5" customHeight="1" x14ac:dyDescent="0.45">
      <c r="A77" s="117" t="s">
        <v>1537</v>
      </c>
      <c r="B77" s="117" t="s">
        <v>68</v>
      </c>
      <c r="C77" s="468">
        <v>40</v>
      </c>
      <c r="D77" s="91">
        <v>1.85</v>
      </c>
      <c r="E77" s="89">
        <v>21.621621621622001</v>
      </c>
      <c r="F77" s="116">
        <v>3</v>
      </c>
      <c r="G77" s="91">
        <v>0.8</v>
      </c>
      <c r="H77" s="468">
        <v>40</v>
      </c>
      <c r="I77" s="116">
        <v>35</v>
      </c>
      <c r="J77" s="91">
        <v>1.1428571428570999</v>
      </c>
      <c r="N77" s="473" t="str">
        <f>IF(OR(ゲージわざ表[[#This Row],[タイプ]]=$V$2,ゲージわざ表[[#This Row],[タイプ]]=$W$2),"↑","")</f>
        <v/>
      </c>
      <c r="O77" s="116">
        <f>IF(OR(ゲージわざ表[[#This Row],[タイプ]]=$V$2,ゲージわざ表[[#This Row],[タイプ]]=$W$2),ゲージわざ表[[#This Row],[威力_g]]*タイプ一致係数,ゲージわざ表[[#This Row],[威力_g]])</f>
        <v>40</v>
      </c>
      <c r="P77" s="89">
        <f>IF(OR(ゲージわざ表[[#This Row],[タイプ]]=$V$2,ゲージわざ表[[#This Row],[タイプ]]=$W$2),ゲージわざ表[[#This Row],[DPS]]*タイプ一致係数,ゲージわざ表[[#This Row],[DPS]])</f>
        <v>21.621621621622001</v>
      </c>
      <c r="Q77" s="116">
        <f>IF(OR(ゲージわざ表[[#This Row],[タイプ]]=$V$2,ゲージわざ表[[#This Row],[タイプ]]=$W$2),ゲージわざ表[[#This Row],[威力_m]]*タイプ一致係数,ゲージわざ表[[#This Row],[威力_m]])</f>
        <v>40</v>
      </c>
      <c r="R77" s="91">
        <f>IF(OR(ゲージわざ表[[#This Row],[タイプ]]=$V$2,ゲージわざ表[[#This Row],[タイプ]]=$W$2),ゲージわざ表[[#This Row],[DPE]]*タイプ一致係数,ゲージわざ表[[#This Row],[DPE]])</f>
        <v>1.1428571428570999</v>
      </c>
    </row>
    <row r="78" spans="1:18" ht="16.5" customHeight="1" x14ac:dyDescent="0.45">
      <c r="A78" s="131" t="s">
        <v>203</v>
      </c>
      <c r="B78" s="131" t="s">
        <v>72</v>
      </c>
      <c r="C78" s="468">
        <v>55</v>
      </c>
      <c r="D78" s="91">
        <v>2.4</v>
      </c>
      <c r="E78" s="89">
        <v>22.916666666666998</v>
      </c>
      <c r="F78" s="116">
        <v>3</v>
      </c>
      <c r="G78" s="91">
        <v>1.9</v>
      </c>
      <c r="H78" s="468">
        <v>55</v>
      </c>
      <c r="I78" s="116">
        <v>45</v>
      </c>
      <c r="J78" s="91">
        <v>1.2222222222221999</v>
      </c>
      <c r="N78" s="473" t="str">
        <f>IF(OR(ゲージわざ表[[#This Row],[タイプ]]=$V$2,ゲージわざ表[[#This Row],[タイプ]]=$W$2),"↑","")</f>
        <v/>
      </c>
      <c r="O78" s="116">
        <f>IF(OR(ゲージわざ表[[#This Row],[タイプ]]=$V$2,ゲージわざ表[[#This Row],[タイプ]]=$W$2),ゲージわざ表[[#This Row],[威力_g]]*タイプ一致係数,ゲージわざ表[[#This Row],[威力_g]])</f>
        <v>55</v>
      </c>
      <c r="P78" s="89">
        <f>IF(OR(ゲージわざ表[[#This Row],[タイプ]]=$V$2,ゲージわざ表[[#This Row],[タイプ]]=$W$2),ゲージわざ表[[#This Row],[DPS]]*タイプ一致係数,ゲージわざ表[[#This Row],[DPS]])</f>
        <v>22.916666666666998</v>
      </c>
      <c r="Q78" s="116">
        <f>IF(OR(ゲージわざ表[[#This Row],[タイプ]]=$V$2,ゲージわざ表[[#This Row],[タイプ]]=$W$2),ゲージわざ表[[#This Row],[威力_m]]*タイプ一致係数,ゲージわざ表[[#This Row],[威力_m]])</f>
        <v>55</v>
      </c>
      <c r="R78" s="91">
        <f>IF(OR(ゲージわざ表[[#This Row],[タイプ]]=$V$2,ゲージわざ表[[#This Row],[タイプ]]=$W$2),ゲージわざ表[[#This Row],[DPE]]*タイプ一致係数,ゲージわざ表[[#This Row],[DPE]])</f>
        <v>1.2222222222221999</v>
      </c>
    </row>
    <row r="79" spans="1:18" ht="16.5" customHeight="1" x14ac:dyDescent="0.45">
      <c r="A79" s="118" t="s">
        <v>1483</v>
      </c>
      <c r="B79" s="118" t="s">
        <v>8</v>
      </c>
      <c r="C79" s="468">
        <v>140</v>
      </c>
      <c r="D79" s="91">
        <v>3.7</v>
      </c>
      <c r="E79" s="89">
        <v>37.837837837838002</v>
      </c>
      <c r="F79" s="116">
        <v>1</v>
      </c>
      <c r="G79" s="91">
        <v>3</v>
      </c>
      <c r="H79" s="468">
        <v>150</v>
      </c>
      <c r="I79" s="116">
        <v>80</v>
      </c>
      <c r="J79" s="91">
        <v>1.875</v>
      </c>
      <c r="N79" s="473" t="str">
        <f>IF(OR(ゲージわざ表[[#This Row],[タイプ]]=$V$2,ゲージわざ表[[#This Row],[タイプ]]=$W$2),"↑","")</f>
        <v/>
      </c>
      <c r="O79" s="116">
        <f>IF(OR(ゲージわざ表[[#This Row],[タイプ]]=$V$2,ゲージわざ表[[#This Row],[タイプ]]=$W$2),ゲージわざ表[[#This Row],[威力_g]]*タイプ一致係数,ゲージわざ表[[#This Row],[威力_g]])</f>
        <v>140</v>
      </c>
      <c r="P79" s="89">
        <f>IF(OR(ゲージわざ表[[#This Row],[タイプ]]=$V$2,ゲージわざ表[[#This Row],[タイプ]]=$W$2),ゲージわざ表[[#This Row],[DPS]]*タイプ一致係数,ゲージわざ表[[#This Row],[DPS]])</f>
        <v>37.837837837838002</v>
      </c>
      <c r="Q79" s="116">
        <f>IF(OR(ゲージわざ表[[#This Row],[タイプ]]=$V$2,ゲージわざ表[[#This Row],[タイプ]]=$W$2),ゲージわざ表[[#This Row],[威力_m]]*タイプ一致係数,ゲージわざ表[[#This Row],[威力_m]])</f>
        <v>150</v>
      </c>
      <c r="R79" s="91">
        <f>IF(OR(ゲージわざ表[[#This Row],[タイプ]]=$V$2,ゲージわざ表[[#This Row],[タイプ]]=$W$2),ゲージわざ表[[#This Row],[DPE]]*タイプ一致係数,ゲージわざ表[[#This Row],[DPE]])</f>
        <v>1.875</v>
      </c>
    </row>
    <row r="80" spans="1:18" ht="16.5" customHeight="1" x14ac:dyDescent="0.45">
      <c r="A80" s="132" t="s">
        <v>154</v>
      </c>
      <c r="B80" s="132" t="s">
        <v>32</v>
      </c>
      <c r="C80" s="468">
        <v>35</v>
      </c>
      <c r="D80" s="91">
        <v>1.7</v>
      </c>
      <c r="E80" s="89">
        <v>20.588235294118</v>
      </c>
      <c r="F80" s="116">
        <v>3</v>
      </c>
      <c r="G80" s="91">
        <v>0.9</v>
      </c>
      <c r="H80" s="468">
        <v>40</v>
      </c>
      <c r="I80" s="116">
        <v>35</v>
      </c>
      <c r="J80" s="91">
        <v>1.1428571428570999</v>
      </c>
      <c r="N80" s="473" t="str">
        <f>IF(OR(ゲージわざ表[[#This Row],[タイプ]]=$V$2,ゲージわざ表[[#This Row],[タイプ]]=$W$2),"↑","")</f>
        <v/>
      </c>
      <c r="O80" s="116">
        <f>IF(OR(ゲージわざ表[[#This Row],[タイプ]]=$V$2,ゲージわざ表[[#This Row],[タイプ]]=$W$2),ゲージわざ表[[#This Row],[威力_g]]*タイプ一致係数,ゲージわざ表[[#This Row],[威力_g]])</f>
        <v>35</v>
      </c>
      <c r="P80" s="89">
        <f>IF(OR(ゲージわざ表[[#This Row],[タイプ]]=$V$2,ゲージわざ表[[#This Row],[タイプ]]=$W$2),ゲージわざ表[[#This Row],[DPS]]*タイプ一致係数,ゲージわざ表[[#This Row],[DPS]])</f>
        <v>20.588235294118</v>
      </c>
      <c r="Q80" s="116">
        <f>IF(OR(ゲージわざ表[[#This Row],[タイプ]]=$V$2,ゲージわざ表[[#This Row],[タイプ]]=$W$2),ゲージわざ表[[#This Row],[威力_m]]*タイプ一致係数,ゲージわざ表[[#This Row],[威力_m]])</f>
        <v>40</v>
      </c>
      <c r="R80" s="91">
        <f>IF(OR(ゲージわざ表[[#This Row],[タイプ]]=$V$2,ゲージわざ表[[#This Row],[タイプ]]=$W$2),ゲージわざ表[[#This Row],[DPE]]*タイプ一致係数,ゲージわざ表[[#This Row],[DPE]])</f>
        <v>1.1428571428570999</v>
      </c>
    </row>
    <row r="81" spans="1:18" ht="16.5" customHeight="1" x14ac:dyDescent="0.45">
      <c r="A81" s="117" t="s">
        <v>1567</v>
      </c>
      <c r="B81" s="117" t="s">
        <v>68</v>
      </c>
      <c r="C81" s="468">
        <v>90</v>
      </c>
      <c r="D81" s="91">
        <v>2.9</v>
      </c>
      <c r="E81" s="89">
        <v>31.034482758620999</v>
      </c>
      <c r="F81" s="116">
        <v>2</v>
      </c>
      <c r="G81" s="91">
        <v>2.7</v>
      </c>
      <c r="H81" s="468">
        <v>90</v>
      </c>
      <c r="I81" s="116">
        <v>55</v>
      </c>
      <c r="J81" s="91">
        <v>1.6363636363636</v>
      </c>
      <c r="N81" s="473" t="str">
        <f>IF(OR(ゲージわざ表[[#This Row],[タイプ]]=$V$2,ゲージわざ表[[#This Row],[タイプ]]=$W$2),"↑","")</f>
        <v/>
      </c>
      <c r="O81" s="116">
        <f>IF(OR(ゲージわざ表[[#This Row],[タイプ]]=$V$2,ゲージわざ表[[#This Row],[タイプ]]=$W$2),ゲージわざ表[[#This Row],[威力_g]]*タイプ一致係数,ゲージわざ表[[#This Row],[威力_g]])</f>
        <v>90</v>
      </c>
      <c r="P81" s="89">
        <f>IF(OR(ゲージわざ表[[#This Row],[タイプ]]=$V$2,ゲージわざ表[[#This Row],[タイプ]]=$W$2),ゲージわざ表[[#This Row],[DPS]]*タイプ一致係数,ゲージわざ表[[#This Row],[DPS]])</f>
        <v>31.034482758620999</v>
      </c>
      <c r="Q81" s="116">
        <f>IF(OR(ゲージわざ表[[#This Row],[タイプ]]=$V$2,ゲージわざ表[[#This Row],[タイプ]]=$W$2),ゲージわざ表[[#This Row],[威力_m]]*タイプ一致係数,ゲージわざ表[[#This Row],[威力_m]])</f>
        <v>90</v>
      </c>
      <c r="R81" s="91">
        <f>IF(OR(ゲージわざ表[[#This Row],[タイプ]]=$V$2,ゲージわざ表[[#This Row],[タイプ]]=$W$2),ゲージわざ表[[#This Row],[DPE]]*タイプ一致係数,ゲージわざ表[[#This Row],[DPE]])</f>
        <v>1.6363636363636</v>
      </c>
    </row>
    <row r="82" spans="1:18" x14ac:dyDescent="0.45">
      <c r="A82" s="125" t="s">
        <v>1772</v>
      </c>
      <c r="B82" s="125" t="s">
        <v>29</v>
      </c>
      <c r="C82" s="468">
        <v>50</v>
      </c>
      <c r="D82" s="91">
        <v>2.2000000000000002</v>
      </c>
      <c r="E82" s="89">
        <v>22.727272727273</v>
      </c>
      <c r="F82" s="116">
        <v>3</v>
      </c>
      <c r="G82" s="91">
        <v>1.8</v>
      </c>
      <c r="H82" s="468">
        <v>20</v>
      </c>
      <c r="I82" s="116">
        <v>35</v>
      </c>
      <c r="J82" s="91">
        <v>0.57142857142856995</v>
      </c>
      <c r="K82" s="90" t="s">
        <v>1771</v>
      </c>
      <c r="L82" s="90">
        <v>1</v>
      </c>
      <c r="M82" s="90">
        <v>1</v>
      </c>
      <c r="N82" s="473" t="str">
        <f>IF(OR(ゲージわざ表[[#This Row],[タイプ]]=$V$2,ゲージわざ表[[#This Row],[タイプ]]=$W$2),"↑","")</f>
        <v/>
      </c>
      <c r="O82" s="116">
        <f>IF(OR(ゲージわざ表[[#This Row],[タイプ]]=$V$2,ゲージわざ表[[#This Row],[タイプ]]=$W$2),ゲージわざ表[[#This Row],[威力_g]]*タイプ一致係数,ゲージわざ表[[#This Row],[威力_g]])</f>
        <v>50</v>
      </c>
      <c r="P82" s="89">
        <f>IF(OR(ゲージわざ表[[#This Row],[タイプ]]=$V$2,ゲージわざ表[[#This Row],[タイプ]]=$W$2),ゲージわざ表[[#This Row],[DPS]]*タイプ一致係数,ゲージわざ表[[#This Row],[DPS]])</f>
        <v>22.727272727273</v>
      </c>
      <c r="Q82" s="116">
        <f>IF(OR(ゲージわざ表[[#This Row],[タイプ]]=$V$2,ゲージわざ表[[#This Row],[タイプ]]=$W$2),ゲージわざ表[[#This Row],[威力_m]]*タイプ一致係数,ゲージわざ表[[#This Row],[威力_m]])</f>
        <v>20</v>
      </c>
      <c r="R82" s="91">
        <f>IF(OR(ゲージわざ表[[#This Row],[タイプ]]=$V$2,ゲージわざ表[[#This Row],[タイプ]]=$W$2),ゲージわざ表[[#This Row],[DPE]]*タイプ一致係数,ゲージわざ表[[#This Row],[DPE]])</f>
        <v>0.57142857142856995</v>
      </c>
    </row>
    <row r="83" spans="1:18" ht="16.5" customHeight="1" x14ac:dyDescent="0.45">
      <c r="A83" s="122" t="s">
        <v>262</v>
      </c>
      <c r="B83" s="122" t="s">
        <v>90</v>
      </c>
      <c r="C83" s="468">
        <v>50</v>
      </c>
      <c r="D83" s="91">
        <v>1.7</v>
      </c>
      <c r="E83" s="89">
        <v>29.411764705882</v>
      </c>
      <c r="F83" s="116">
        <v>3</v>
      </c>
      <c r="G83" s="91">
        <v>1.1000000000000001</v>
      </c>
      <c r="H83" s="468">
        <v>50</v>
      </c>
      <c r="I83" s="116">
        <v>35</v>
      </c>
      <c r="J83" s="91">
        <v>1.4285714285714</v>
      </c>
      <c r="N83" s="473" t="str">
        <f>IF(OR(ゲージわざ表[[#This Row],[タイプ]]=$V$2,ゲージわざ表[[#This Row],[タイプ]]=$W$2),"↑","")</f>
        <v/>
      </c>
      <c r="O83" s="116">
        <f>IF(OR(ゲージわざ表[[#This Row],[タイプ]]=$V$2,ゲージわざ表[[#This Row],[タイプ]]=$W$2),ゲージわざ表[[#This Row],[威力_g]]*タイプ一致係数,ゲージわざ表[[#This Row],[威力_g]])</f>
        <v>50</v>
      </c>
      <c r="P83" s="89">
        <f>IF(OR(ゲージわざ表[[#This Row],[タイプ]]=$V$2,ゲージわざ表[[#This Row],[タイプ]]=$W$2),ゲージわざ表[[#This Row],[DPS]]*タイプ一致係数,ゲージわざ表[[#This Row],[DPS]])</f>
        <v>29.411764705882</v>
      </c>
      <c r="Q83" s="116">
        <f>IF(OR(ゲージわざ表[[#This Row],[タイプ]]=$V$2,ゲージわざ表[[#This Row],[タイプ]]=$W$2),ゲージわざ表[[#This Row],[威力_m]]*タイプ一致係数,ゲージわざ表[[#This Row],[威力_m]])</f>
        <v>50</v>
      </c>
      <c r="R83" s="91">
        <f>IF(OR(ゲージわざ表[[#This Row],[タイプ]]=$V$2,ゲージわざ表[[#This Row],[タイプ]]=$W$2),ゲージわざ表[[#This Row],[DPE]]*タイプ一致係数,ゲージわざ表[[#This Row],[DPE]])</f>
        <v>1.4285714285714</v>
      </c>
    </row>
    <row r="84" spans="1:18" ht="16.5" customHeight="1" x14ac:dyDescent="0.45">
      <c r="A84" s="131" t="s">
        <v>146</v>
      </c>
      <c r="B84" s="131" t="s">
        <v>72</v>
      </c>
      <c r="C84" s="468">
        <v>60</v>
      </c>
      <c r="D84" s="91">
        <v>2.2999999999999998</v>
      </c>
      <c r="E84" s="89">
        <v>26.086956521739001</v>
      </c>
      <c r="F84" s="116">
        <v>3</v>
      </c>
      <c r="G84" s="91">
        <v>1.7</v>
      </c>
      <c r="H84" s="468">
        <v>60</v>
      </c>
      <c r="I84" s="116">
        <v>40</v>
      </c>
      <c r="J84" s="91">
        <v>1.5</v>
      </c>
      <c r="N84" s="473" t="str">
        <f>IF(OR(ゲージわざ表[[#This Row],[タイプ]]=$V$2,ゲージわざ表[[#This Row],[タイプ]]=$W$2),"↑","")</f>
        <v/>
      </c>
      <c r="O84" s="116">
        <f>IF(OR(ゲージわざ表[[#This Row],[タイプ]]=$V$2,ゲージわざ表[[#This Row],[タイプ]]=$W$2),ゲージわざ表[[#This Row],[威力_g]]*タイプ一致係数,ゲージわざ表[[#This Row],[威力_g]])</f>
        <v>60</v>
      </c>
      <c r="P84" s="89">
        <f>IF(OR(ゲージわざ表[[#This Row],[タイプ]]=$V$2,ゲージわざ表[[#This Row],[タイプ]]=$W$2),ゲージわざ表[[#This Row],[DPS]]*タイプ一致係数,ゲージわざ表[[#This Row],[DPS]])</f>
        <v>26.086956521739001</v>
      </c>
      <c r="Q84" s="116">
        <f>IF(OR(ゲージわざ表[[#This Row],[タイプ]]=$V$2,ゲージわざ表[[#This Row],[タイプ]]=$W$2),ゲージわざ表[[#This Row],[威力_m]]*タイプ一致係数,ゲージわざ表[[#This Row],[威力_m]])</f>
        <v>60</v>
      </c>
      <c r="R84" s="91">
        <f>IF(OR(ゲージわざ表[[#This Row],[タイプ]]=$V$2,ゲージわざ表[[#This Row],[タイプ]]=$W$2),ゲージわざ表[[#This Row],[DPE]]*タイプ一致係数,ゲージわざ表[[#This Row],[DPE]])</f>
        <v>1.5</v>
      </c>
    </row>
    <row r="85" spans="1:18" ht="16.5" customHeight="1" x14ac:dyDescent="0.45">
      <c r="A85" s="130" t="s">
        <v>1487</v>
      </c>
      <c r="B85" s="130" t="s">
        <v>3</v>
      </c>
      <c r="C85" s="468">
        <v>80</v>
      </c>
      <c r="D85" s="91">
        <v>2.8</v>
      </c>
      <c r="E85" s="89">
        <v>28.571428571428999</v>
      </c>
      <c r="F85" s="116">
        <v>2</v>
      </c>
      <c r="G85" s="91">
        <v>1.7</v>
      </c>
      <c r="H85" s="468">
        <v>80</v>
      </c>
      <c r="I85" s="116">
        <v>55</v>
      </c>
      <c r="J85" s="91">
        <v>1.4545454545455001</v>
      </c>
      <c r="N85" s="473" t="str">
        <f>IF(OR(ゲージわざ表[[#This Row],[タイプ]]=$V$2,ゲージわざ表[[#This Row],[タイプ]]=$W$2),"↑","")</f>
        <v/>
      </c>
      <c r="O85" s="116">
        <f>IF(OR(ゲージわざ表[[#This Row],[タイプ]]=$V$2,ゲージわざ表[[#This Row],[タイプ]]=$W$2),ゲージわざ表[[#This Row],[威力_g]]*タイプ一致係数,ゲージわざ表[[#This Row],[威力_g]])</f>
        <v>80</v>
      </c>
      <c r="P85" s="89">
        <f>IF(OR(ゲージわざ表[[#This Row],[タイプ]]=$V$2,ゲージわざ表[[#This Row],[タイプ]]=$W$2),ゲージわざ表[[#This Row],[DPS]]*タイプ一致係数,ゲージわざ表[[#This Row],[DPS]])</f>
        <v>28.571428571428999</v>
      </c>
      <c r="Q85" s="116">
        <f>IF(OR(ゲージわざ表[[#This Row],[タイプ]]=$V$2,ゲージわざ表[[#This Row],[タイプ]]=$W$2),ゲージわざ表[[#This Row],[威力_m]]*タイプ一致係数,ゲージわざ表[[#This Row],[威力_m]])</f>
        <v>80</v>
      </c>
      <c r="R85" s="91">
        <f>IF(OR(ゲージわざ表[[#This Row],[タイプ]]=$V$2,ゲージわざ表[[#This Row],[タイプ]]=$W$2),ゲージわざ表[[#This Row],[DPE]]*タイプ一致係数,ゲージわざ表[[#This Row],[DPE]])</f>
        <v>1.4545454545455001</v>
      </c>
    </row>
    <row r="86" spans="1:18" ht="16.5" customHeight="1" x14ac:dyDescent="0.45">
      <c r="A86" s="126" t="s">
        <v>118</v>
      </c>
      <c r="B86" s="126" t="s">
        <v>61</v>
      </c>
      <c r="C86" s="468">
        <v>60</v>
      </c>
      <c r="D86" s="91">
        <v>2.6</v>
      </c>
      <c r="E86" s="89">
        <v>23.076923076922998</v>
      </c>
      <c r="F86" s="116">
        <v>2</v>
      </c>
      <c r="G86" s="91">
        <v>1</v>
      </c>
      <c r="H86" s="468">
        <v>60</v>
      </c>
      <c r="I86" s="116">
        <v>55</v>
      </c>
      <c r="J86" s="91">
        <v>1.0909090909090999</v>
      </c>
      <c r="N86" s="473" t="str">
        <f>IF(OR(ゲージわざ表[[#This Row],[タイプ]]=$V$2,ゲージわざ表[[#This Row],[タイプ]]=$W$2),"↑","")</f>
        <v/>
      </c>
      <c r="O86" s="116">
        <f>IF(OR(ゲージわざ表[[#This Row],[タイプ]]=$V$2,ゲージわざ表[[#This Row],[タイプ]]=$W$2),ゲージわざ表[[#This Row],[威力_g]]*タイプ一致係数,ゲージわざ表[[#This Row],[威力_g]])</f>
        <v>60</v>
      </c>
      <c r="P86" s="89">
        <f>IF(OR(ゲージわざ表[[#This Row],[タイプ]]=$V$2,ゲージわざ表[[#This Row],[タイプ]]=$W$2),ゲージわざ表[[#This Row],[DPS]]*タイプ一致係数,ゲージわざ表[[#This Row],[DPS]])</f>
        <v>23.076923076922998</v>
      </c>
      <c r="Q86" s="116">
        <f>IF(OR(ゲージわざ表[[#This Row],[タイプ]]=$V$2,ゲージわざ表[[#This Row],[タイプ]]=$W$2),ゲージわざ表[[#This Row],[威力_m]]*タイプ一致係数,ゲージわざ表[[#This Row],[威力_m]])</f>
        <v>60</v>
      </c>
      <c r="R86" s="91">
        <f>IF(OR(ゲージわざ表[[#This Row],[タイプ]]=$V$2,ゲージわざ表[[#This Row],[タイプ]]=$W$2),ゲージわざ表[[#This Row],[DPE]]*タイプ一致係数,ゲージわざ表[[#This Row],[DPE]])</f>
        <v>1.0909090909090999</v>
      </c>
    </row>
    <row r="87" spans="1:18" ht="16.5" customHeight="1" x14ac:dyDescent="0.45">
      <c r="A87" s="130" t="s">
        <v>99</v>
      </c>
      <c r="B87" s="130" t="s">
        <v>3</v>
      </c>
      <c r="C87" s="468">
        <v>55</v>
      </c>
      <c r="D87" s="91">
        <v>2.2999999999999998</v>
      </c>
      <c r="E87" s="89">
        <v>23.913043478260999</v>
      </c>
      <c r="F87" s="116">
        <v>3</v>
      </c>
      <c r="G87" s="91">
        <v>1.7</v>
      </c>
      <c r="H87" s="468">
        <v>55</v>
      </c>
      <c r="I87" s="116">
        <v>40</v>
      </c>
      <c r="J87" s="91">
        <v>1.375</v>
      </c>
      <c r="N87" s="473" t="str">
        <f>IF(OR(ゲージわざ表[[#This Row],[タイプ]]=$V$2,ゲージわざ表[[#This Row],[タイプ]]=$W$2),"↑","")</f>
        <v/>
      </c>
      <c r="O87" s="116">
        <f>IF(OR(ゲージわざ表[[#This Row],[タイプ]]=$V$2,ゲージわざ表[[#This Row],[タイプ]]=$W$2),ゲージわざ表[[#This Row],[威力_g]]*タイプ一致係数,ゲージわざ表[[#This Row],[威力_g]])</f>
        <v>55</v>
      </c>
      <c r="P87" s="89">
        <f>IF(OR(ゲージわざ表[[#This Row],[タイプ]]=$V$2,ゲージわざ表[[#This Row],[タイプ]]=$W$2),ゲージわざ表[[#This Row],[DPS]]*タイプ一致係数,ゲージわざ表[[#This Row],[DPS]])</f>
        <v>23.913043478260999</v>
      </c>
      <c r="Q87" s="116">
        <f>IF(OR(ゲージわざ表[[#This Row],[タイプ]]=$V$2,ゲージわざ表[[#This Row],[タイプ]]=$W$2),ゲージわざ表[[#This Row],[威力_m]]*タイプ一致係数,ゲージわざ表[[#This Row],[威力_m]])</f>
        <v>55</v>
      </c>
      <c r="R87" s="91">
        <f>IF(OR(ゲージわざ表[[#This Row],[タイプ]]=$V$2,ゲージわざ表[[#This Row],[タイプ]]=$W$2),ゲージわざ表[[#This Row],[DPE]]*タイプ一致係数,ゲージわざ表[[#This Row],[DPE]])</f>
        <v>1.375</v>
      </c>
    </row>
    <row r="88" spans="1:18" ht="16.5" customHeight="1" x14ac:dyDescent="0.45">
      <c r="A88" s="133" t="s">
        <v>129</v>
      </c>
      <c r="B88" s="133" t="s">
        <v>16</v>
      </c>
      <c r="C88" s="468">
        <v>60</v>
      </c>
      <c r="D88" s="91">
        <v>2.6</v>
      </c>
      <c r="E88" s="89">
        <v>23.076923076922998</v>
      </c>
      <c r="F88" s="116">
        <v>2</v>
      </c>
      <c r="G88" s="91">
        <v>2.1</v>
      </c>
      <c r="H88" s="468">
        <v>60</v>
      </c>
      <c r="I88" s="116">
        <v>55</v>
      </c>
      <c r="J88" s="91">
        <v>1.0909090909090999</v>
      </c>
      <c r="N88" s="473" t="str">
        <f>IF(OR(ゲージわざ表[[#This Row],[タイプ]]=$V$2,ゲージわざ表[[#This Row],[タイプ]]=$W$2),"↑","")</f>
        <v/>
      </c>
      <c r="O88" s="116">
        <f>IF(OR(ゲージわざ表[[#This Row],[タイプ]]=$V$2,ゲージわざ表[[#This Row],[タイプ]]=$W$2),ゲージわざ表[[#This Row],[威力_g]]*タイプ一致係数,ゲージわざ表[[#This Row],[威力_g]])</f>
        <v>60</v>
      </c>
      <c r="P88" s="89">
        <f>IF(OR(ゲージわざ表[[#This Row],[タイプ]]=$V$2,ゲージわざ表[[#This Row],[タイプ]]=$W$2),ゲージわざ表[[#This Row],[DPS]]*タイプ一致係数,ゲージわざ表[[#This Row],[DPS]])</f>
        <v>23.076923076922998</v>
      </c>
      <c r="Q88" s="116">
        <f>IF(OR(ゲージわざ表[[#This Row],[タイプ]]=$V$2,ゲージわざ表[[#This Row],[タイプ]]=$W$2),ゲージわざ表[[#This Row],[威力_m]]*タイプ一致係数,ゲージわざ表[[#This Row],[威力_m]])</f>
        <v>60</v>
      </c>
      <c r="R88" s="91">
        <f>IF(OR(ゲージわざ表[[#This Row],[タイプ]]=$V$2,ゲージわざ表[[#This Row],[タイプ]]=$W$2),ゲージわざ表[[#This Row],[DPE]]*タイプ一致係数,ゲージわざ表[[#This Row],[DPE]])</f>
        <v>1.0909090909090999</v>
      </c>
    </row>
    <row r="89" spans="1:18" ht="16.5" customHeight="1" x14ac:dyDescent="0.45">
      <c r="A89" s="128" t="s">
        <v>218</v>
      </c>
      <c r="B89" s="128" t="s">
        <v>111</v>
      </c>
      <c r="C89" s="468">
        <v>65</v>
      </c>
      <c r="D89" s="91">
        <v>1.7</v>
      </c>
      <c r="E89" s="89">
        <v>38.235294117647001</v>
      </c>
      <c r="F89" s="116">
        <v>2</v>
      </c>
      <c r="G89" s="91">
        <v>1.4</v>
      </c>
      <c r="H89" s="468">
        <v>65</v>
      </c>
      <c r="I89" s="116">
        <v>40</v>
      </c>
      <c r="J89" s="91">
        <v>1.625</v>
      </c>
      <c r="N89" s="473" t="str">
        <f>IF(OR(ゲージわざ表[[#This Row],[タイプ]]=$V$2,ゲージわざ表[[#This Row],[タイプ]]=$W$2),"↑","")</f>
        <v/>
      </c>
      <c r="O89" s="116">
        <f>IF(OR(ゲージわざ表[[#This Row],[タイプ]]=$V$2,ゲージわざ表[[#This Row],[タイプ]]=$W$2),ゲージわざ表[[#This Row],[威力_g]]*タイプ一致係数,ゲージわざ表[[#This Row],[威力_g]])</f>
        <v>65</v>
      </c>
      <c r="P89" s="89">
        <f>IF(OR(ゲージわざ表[[#This Row],[タイプ]]=$V$2,ゲージわざ表[[#This Row],[タイプ]]=$W$2),ゲージわざ表[[#This Row],[DPS]]*タイプ一致係数,ゲージわざ表[[#This Row],[DPS]])</f>
        <v>38.235294117647001</v>
      </c>
      <c r="Q89" s="116">
        <f>IF(OR(ゲージわざ表[[#This Row],[タイプ]]=$V$2,ゲージわざ表[[#This Row],[タイプ]]=$W$2),ゲージわざ表[[#This Row],[威力_m]]*タイプ一致係数,ゲージわざ表[[#This Row],[威力_m]])</f>
        <v>65</v>
      </c>
      <c r="R89" s="91">
        <f>IF(OR(ゲージわざ表[[#This Row],[タイプ]]=$V$2,ゲージわざ表[[#This Row],[タイプ]]=$W$2),ゲージわざ表[[#This Row],[DPE]]*タイプ一致係数,ゲージわざ表[[#This Row],[DPE]])</f>
        <v>1.625</v>
      </c>
    </row>
    <row r="90" spans="1:18" ht="16.5" customHeight="1" x14ac:dyDescent="0.45">
      <c r="A90" s="129" t="s">
        <v>1482</v>
      </c>
      <c r="B90" s="129" t="s">
        <v>22</v>
      </c>
      <c r="C90" s="468">
        <v>70</v>
      </c>
      <c r="D90" s="91">
        <v>3.8</v>
      </c>
      <c r="E90" s="89">
        <v>18.421052631578998</v>
      </c>
      <c r="F90" s="116">
        <v>3</v>
      </c>
      <c r="G90" s="91">
        <v>2.9</v>
      </c>
      <c r="H90" s="468">
        <v>70</v>
      </c>
      <c r="I90" s="116">
        <v>50</v>
      </c>
      <c r="J90" s="91">
        <v>1.4</v>
      </c>
      <c r="N90" s="473" t="str">
        <f>IF(OR(ゲージわざ表[[#This Row],[タイプ]]=$V$2,ゲージわざ表[[#This Row],[タイプ]]=$W$2),"↑","")</f>
        <v/>
      </c>
      <c r="O90" s="116">
        <f>IF(OR(ゲージわざ表[[#This Row],[タイプ]]=$V$2,ゲージわざ表[[#This Row],[タイプ]]=$W$2),ゲージわざ表[[#This Row],[威力_g]]*タイプ一致係数,ゲージわざ表[[#This Row],[威力_g]])</f>
        <v>70</v>
      </c>
      <c r="P90" s="89">
        <f>IF(OR(ゲージわざ表[[#This Row],[タイプ]]=$V$2,ゲージわざ表[[#This Row],[タイプ]]=$W$2),ゲージわざ表[[#This Row],[DPS]]*タイプ一致係数,ゲージわざ表[[#This Row],[DPS]])</f>
        <v>18.421052631578998</v>
      </c>
      <c r="Q90" s="116">
        <f>IF(OR(ゲージわざ表[[#This Row],[タイプ]]=$V$2,ゲージわざ表[[#This Row],[タイプ]]=$W$2),ゲージわざ表[[#This Row],[威力_m]]*タイプ一致係数,ゲージわざ表[[#This Row],[威力_m]])</f>
        <v>70</v>
      </c>
      <c r="R90" s="91">
        <f>IF(OR(ゲージわざ表[[#This Row],[タイプ]]=$V$2,ゲージわざ表[[#This Row],[タイプ]]=$W$2),ゲージわざ表[[#This Row],[DPE]]*タイプ一致係数,ゲージわざ表[[#This Row],[DPE]])</f>
        <v>1.4</v>
      </c>
    </row>
    <row r="91" spans="1:18" ht="16.5" customHeight="1" x14ac:dyDescent="0.45">
      <c r="A91" s="128" t="s">
        <v>1566</v>
      </c>
      <c r="B91" s="128" t="s">
        <v>111</v>
      </c>
      <c r="C91" s="468">
        <v>80</v>
      </c>
      <c r="D91" s="91">
        <v>3.7</v>
      </c>
      <c r="E91" s="89">
        <v>21.621621621622001</v>
      </c>
      <c r="F91" s="116">
        <v>2</v>
      </c>
      <c r="G91" s="91">
        <v>1.3</v>
      </c>
      <c r="H91" s="468">
        <v>80</v>
      </c>
      <c r="I91" s="116">
        <v>60</v>
      </c>
      <c r="J91" s="91">
        <v>1.3333333333333</v>
      </c>
      <c r="N91" s="473" t="str">
        <f>IF(OR(ゲージわざ表[[#This Row],[タイプ]]=$V$2,ゲージわざ表[[#This Row],[タイプ]]=$W$2),"↑","")</f>
        <v/>
      </c>
      <c r="O91" s="116">
        <f>IF(OR(ゲージわざ表[[#This Row],[タイプ]]=$V$2,ゲージわざ表[[#This Row],[タイプ]]=$W$2),ゲージわざ表[[#This Row],[威力_g]]*タイプ一致係数,ゲージわざ表[[#This Row],[威力_g]])</f>
        <v>80</v>
      </c>
      <c r="P91" s="89">
        <f>IF(OR(ゲージわざ表[[#This Row],[タイプ]]=$V$2,ゲージわざ表[[#This Row],[タイプ]]=$W$2),ゲージわざ表[[#This Row],[DPS]]*タイプ一致係数,ゲージわざ表[[#This Row],[DPS]])</f>
        <v>21.621621621622001</v>
      </c>
      <c r="Q91" s="116">
        <f>IF(OR(ゲージわざ表[[#This Row],[タイプ]]=$V$2,ゲージわざ表[[#This Row],[タイプ]]=$W$2),ゲージわざ表[[#This Row],[威力_m]]*タイプ一致係数,ゲージわざ表[[#This Row],[威力_m]])</f>
        <v>80</v>
      </c>
      <c r="R91" s="91">
        <f>IF(OR(ゲージわざ表[[#This Row],[タイプ]]=$V$2,ゲージわざ表[[#This Row],[タイプ]]=$W$2),ゲージわざ表[[#This Row],[DPE]]*タイプ一致係数,ゲージわざ表[[#This Row],[DPE]])</f>
        <v>1.3333333333333</v>
      </c>
    </row>
    <row r="92" spans="1:18" ht="16.5" customHeight="1" x14ac:dyDescent="0.45">
      <c r="A92" s="129" t="s">
        <v>270</v>
      </c>
      <c r="B92" s="129" t="s">
        <v>22</v>
      </c>
      <c r="C92" s="468">
        <v>95</v>
      </c>
      <c r="D92" s="91">
        <v>3</v>
      </c>
      <c r="E92" s="89">
        <v>31.666666666666998</v>
      </c>
      <c r="F92" s="116">
        <v>1</v>
      </c>
      <c r="G92" s="91">
        <v>1.7</v>
      </c>
      <c r="H92" s="468">
        <v>95</v>
      </c>
      <c r="I92" s="116">
        <v>75</v>
      </c>
      <c r="J92" s="91">
        <v>1.2666666666666999</v>
      </c>
      <c r="N92" s="473" t="str">
        <f>IF(OR(ゲージわざ表[[#This Row],[タイプ]]=$V$2,ゲージわざ表[[#This Row],[タイプ]]=$W$2),"↑","")</f>
        <v/>
      </c>
      <c r="O92" s="116">
        <f>IF(OR(ゲージわざ表[[#This Row],[タイプ]]=$V$2,ゲージわざ表[[#This Row],[タイプ]]=$W$2),ゲージわざ表[[#This Row],[威力_g]]*タイプ一致係数,ゲージわざ表[[#This Row],[威力_g]])</f>
        <v>95</v>
      </c>
      <c r="P92" s="89">
        <f>IF(OR(ゲージわざ表[[#This Row],[タイプ]]=$V$2,ゲージわざ表[[#This Row],[タイプ]]=$W$2),ゲージわざ表[[#This Row],[DPS]]*タイプ一致係数,ゲージわざ表[[#This Row],[DPS]])</f>
        <v>31.666666666666998</v>
      </c>
      <c r="Q92" s="116">
        <f>IF(OR(ゲージわざ表[[#This Row],[タイプ]]=$V$2,ゲージわざ表[[#This Row],[タイプ]]=$W$2),ゲージわざ表[[#This Row],[威力_m]]*タイプ一致係数,ゲージわざ表[[#This Row],[威力_m]])</f>
        <v>95</v>
      </c>
      <c r="R92" s="91">
        <f>IF(OR(ゲージわざ表[[#This Row],[タイプ]]=$V$2,ゲージわざ表[[#This Row],[タイプ]]=$W$2),ゲージわざ表[[#This Row],[DPE]]*タイプ一致係数,ゲージわざ表[[#This Row],[DPE]])</f>
        <v>1.2666666666666999</v>
      </c>
    </row>
    <row r="93" spans="1:18" ht="16.5" customHeight="1" x14ac:dyDescent="0.45">
      <c r="A93" s="117" t="s">
        <v>1480</v>
      </c>
      <c r="B93" s="117" t="s">
        <v>68</v>
      </c>
      <c r="C93" s="468">
        <v>50</v>
      </c>
      <c r="D93" s="91">
        <v>1.9</v>
      </c>
      <c r="E93" s="89">
        <v>26.315789473683999</v>
      </c>
      <c r="F93" s="116">
        <v>3</v>
      </c>
      <c r="G93" s="91">
        <v>1.2</v>
      </c>
      <c r="H93" s="468">
        <v>60</v>
      </c>
      <c r="I93" s="116">
        <v>35</v>
      </c>
      <c r="J93" s="91">
        <v>1.7142857142857</v>
      </c>
      <c r="N93" s="473" t="str">
        <f>IF(OR(ゲージわざ表[[#This Row],[タイプ]]=$V$2,ゲージわざ表[[#This Row],[タイプ]]=$W$2),"↑","")</f>
        <v/>
      </c>
      <c r="O93" s="116">
        <f>IF(OR(ゲージわざ表[[#This Row],[タイプ]]=$V$2,ゲージわざ表[[#This Row],[タイプ]]=$W$2),ゲージわざ表[[#This Row],[威力_g]]*タイプ一致係数,ゲージわざ表[[#This Row],[威力_g]])</f>
        <v>50</v>
      </c>
      <c r="P93" s="89">
        <f>IF(OR(ゲージわざ表[[#This Row],[タイプ]]=$V$2,ゲージわざ表[[#This Row],[タイプ]]=$W$2),ゲージわざ表[[#This Row],[DPS]]*タイプ一致係数,ゲージわざ表[[#This Row],[DPS]])</f>
        <v>26.315789473683999</v>
      </c>
      <c r="Q93" s="116">
        <f>IF(OR(ゲージわざ表[[#This Row],[タイプ]]=$V$2,ゲージわざ表[[#This Row],[タイプ]]=$W$2),ゲージわざ表[[#This Row],[威力_m]]*タイプ一致係数,ゲージわざ表[[#This Row],[威力_m]])</f>
        <v>60</v>
      </c>
      <c r="R93" s="91">
        <f>IF(OR(ゲージわざ表[[#This Row],[タイプ]]=$V$2,ゲージわざ表[[#This Row],[タイプ]]=$W$2),ゲージわざ表[[#This Row],[DPE]]*タイプ一致係数,ゲージわざ表[[#This Row],[DPE]])</f>
        <v>1.7142857142857</v>
      </c>
    </row>
    <row r="94" spans="1:18" ht="16.5" customHeight="1" x14ac:dyDescent="0.45">
      <c r="A94" s="123" t="s">
        <v>1565</v>
      </c>
      <c r="B94" s="123" t="s">
        <v>12</v>
      </c>
      <c r="C94" s="468">
        <v>100</v>
      </c>
      <c r="D94" s="91">
        <v>2.6</v>
      </c>
      <c r="E94" s="89">
        <v>38.461538461537998</v>
      </c>
      <c r="F94" s="116">
        <v>2</v>
      </c>
      <c r="G94" s="91">
        <v>2.15</v>
      </c>
      <c r="H94" s="468">
        <v>100</v>
      </c>
      <c r="I94" s="116">
        <v>45</v>
      </c>
      <c r="J94" s="91">
        <v>2.2222222222222001</v>
      </c>
      <c r="N94" s="473" t="str">
        <f>IF(OR(ゲージわざ表[[#This Row],[タイプ]]=$V$2,ゲージわざ表[[#This Row],[タイプ]]=$W$2),"↑","")</f>
        <v/>
      </c>
      <c r="O94" s="116">
        <f>IF(OR(ゲージわざ表[[#This Row],[タイプ]]=$V$2,ゲージわざ表[[#This Row],[タイプ]]=$W$2),ゲージわざ表[[#This Row],[威力_g]]*タイプ一致係数,ゲージわざ表[[#This Row],[威力_g]])</f>
        <v>100</v>
      </c>
      <c r="P94" s="89">
        <f>IF(OR(ゲージわざ表[[#This Row],[タイプ]]=$V$2,ゲージわざ表[[#This Row],[タイプ]]=$W$2),ゲージわざ表[[#This Row],[DPS]]*タイプ一致係数,ゲージわざ表[[#This Row],[DPS]])</f>
        <v>38.461538461537998</v>
      </c>
      <c r="Q94" s="116">
        <f>IF(OR(ゲージわざ表[[#This Row],[タイプ]]=$V$2,ゲージわざ表[[#This Row],[タイプ]]=$W$2),ゲージわざ表[[#This Row],[威力_m]]*タイプ一致係数,ゲージわざ表[[#This Row],[威力_m]])</f>
        <v>100</v>
      </c>
      <c r="R94" s="91">
        <f>IF(OR(ゲージわざ表[[#This Row],[タイプ]]=$V$2,ゲージわざ表[[#This Row],[タイプ]]=$W$2),ゲージわざ表[[#This Row],[DPE]]*タイプ一致係数,ゲージわざ表[[#This Row],[DPE]])</f>
        <v>2.2222222222222001</v>
      </c>
    </row>
    <row r="95" spans="1:18" ht="16.5" customHeight="1" x14ac:dyDescent="0.45">
      <c r="A95" s="128" t="s">
        <v>1564</v>
      </c>
      <c r="B95" s="128" t="s">
        <v>111</v>
      </c>
      <c r="C95" s="468">
        <v>90</v>
      </c>
      <c r="D95" s="91">
        <v>1.9</v>
      </c>
      <c r="E95" s="89">
        <v>47.368421052632002</v>
      </c>
      <c r="F95" s="116">
        <v>2</v>
      </c>
      <c r="G95" s="91">
        <v>0.5</v>
      </c>
      <c r="H95" s="468">
        <v>80</v>
      </c>
      <c r="I95" s="116">
        <v>40</v>
      </c>
      <c r="J95" s="91">
        <v>2</v>
      </c>
      <c r="N95" s="473" t="str">
        <f>IF(OR(ゲージわざ表[[#This Row],[タイプ]]=$V$2,ゲージわざ表[[#This Row],[タイプ]]=$W$2),"↑","")</f>
        <v/>
      </c>
      <c r="O95" s="116">
        <f>IF(OR(ゲージわざ表[[#This Row],[タイプ]]=$V$2,ゲージわざ表[[#This Row],[タイプ]]=$W$2),ゲージわざ表[[#This Row],[威力_g]]*タイプ一致係数,ゲージわざ表[[#This Row],[威力_g]])</f>
        <v>90</v>
      </c>
      <c r="P95" s="89">
        <f>IF(OR(ゲージわざ表[[#This Row],[タイプ]]=$V$2,ゲージわざ表[[#This Row],[タイプ]]=$W$2),ゲージわざ表[[#This Row],[DPS]]*タイプ一致係数,ゲージわざ表[[#This Row],[DPS]])</f>
        <v>47.368421052632002</v>
      </c>
      <c r="Q95" s="116">
        <f>IF(OR(ゲージわざ表[[#This Row],[タイプ]]=$V$2,ゲージわざ表[[#This Row],[タイプ]]=$W$2),ゲージわざ表[[#This Row],[威力_m]]*タイプ一致係数,ゲージわざ表[[#This Row],[威力_m]])</f>
        <v>80</v>
      </c>
      <c r="R95" s="91">
        <f>IF(OR(ゲージわざ表[[#This Row],[タイプ]]=$V$2,ゲージわざ表[[#This Row],[タイプ]]=$W$2),ゲージわざ表[[#This Row],[DPE]]*タイプ一致係数,ゲージわざ表[[#This Row],[DPE]])</f>
        <v>2</v>
      </c>
    </row>
    <row r="96" spans="1:18" ht="16.5" customHeight="1" x14ac:dyDescent="0.45">
      <c r="A96" s="128" t="s">
        <v>197</v>
      </c>
      <c r="B96" s="128" t="s">
        <v>111</v>
      </c>
      <c r="C96" s="468">
        <v>130</v>
      </c>
      <c r="D96" s="91">
        <v>3.3</v>
      </c>
      <c r="E96" s="89">
        <v>39.393939393939</v>
      </c>
      <c r="F96" s="116">
        <v>1</v>
      </c>
      <c r="G96" s="91">
        <v>0.9</v>
      </c>
      <c r="H96" s="468">
        <v>130</v>
      </c>
      <c r="I96" s="116">
        <v>75</v>
      </c>
      <c r="J96" s="91">
        <v>1.7333333333333001</v>
      </c>
      <c r="N96" s="473" t="str">
        <f>IF(OR(ゲージわざ表[[#This Row],[タイプ]]=$V$2,ゲージわざ表[[#This Row],[タイプ]]=$W$2),"↑","")</f>
        <v/>
      </c>
      <c r="O96" s="116">
        <f>IF(OR(ゲージわざ表[[#This Row],[タイプ]]=$V$2,ゲージわざ表[[#This Row],[タイプ]]=$W$2),ゲージわざ表[[#This Row],[威力_g]]*タイプ一致係数,ゲージわざ表[[#This Row],[威力_g]])</f>
        <v>130</v>
      </c>
      <c r="P96" s="89">
        <f>IF(OR(ゲージわざ表[[#This Row],[タイプ]]=$V$2,ゲージわざ表[[#This Row],[タイプ]]=$W$2),ゲージわざ表[[#This Row],[DPS]]*タイプ一致係数,ゲージわざ表[[#This Row],[DPS]])</f>
        <v>39.393939393939</v>
      </c>
      <c r="Q96" s="116">
        <f>IF(OR(ゲージわざ表[[#This Row],[タイプ]]=$V$2,ゲージわざ表[[#This Row],[タイプ]]=$W$2),ゲージわざ表[[#This Row],[威力_m]]*タイプ一致係数,ゲージわざ表[[#This Row],[威力_m]])</f>
        <v>130</v>
      </c>
      <c r="R96" s="91">
        <f>IF(OR(ゲージわざ表[[#This Row],[タイプ]]=$V$2,ゲージわざ表[[#This Row],[タイプ]]=$W$2),ゲージわざ表[[#This Row],[DPE]]*タイプ一致係数,ゲージわざ表[[#This Row],[DPE]])</f>
        <v>1.7333333333333001</v>
      </c>
    </row>
    <row r="97" spans="1:18" ht="16.5" customHeight="1" x14ac:dyDescent="0.45">
      <c r="A97" s="117" t="s">
        <v>112</v>
      </c>
      <c r="B97" s="117" t="s">
        <v>68</v>
      </c>
      <c r="C97" s="468">
        <v>150</v>
      </c>
      <c r="D97" s="91">
        <v>3.8</v>
      </c>
      <c r="E97" s="89">
        <v>39.473684210526002</v>
      </c>
      <c r="F97" s="116">
        <v>1</v>
      </c>
      <c r="G97" s="91">
        <v>3.3</v>
      </c>
      <c r="H97" s="468">
        <v>150</v>
      </c>
      <c r="I97" s="116">
        <v>80</v>
      </c>
      <c r="J97" s="91">
        <v>1.875</v>
      </c>
      <c r="N97" s="473" t="str">
        <f>IF(OR(ゲージわざ表[[#This Row],[タイプ]]=$V$2,ゲージわざ表[[#This Row],[タイプ]]=$W$2),"↑","")</f>
        <v/>
      </c>
      <c r="O97" s="116">
        <f>IF(OR(ゲージわざ表[[#This Row],[タイプ]]=$V$2,ゲージわざ表[[#This Row],[タイプ]]=$W$2),ゲージわざ表[[#This Row],[威力_g]]*タイプ一致係数,ゲージわざ表[[#This Row],[威力_g]])</f>
        <v>150</v>
      </c>
      <c r="P97" s="89">
        <f>IF(OR(ゲージわざ表[[#This Row],[タイプ]]=$V$2,ゲージわざ表[[#This Row],[タイプ]]=$W$2),ゲージわざ表[[#This Row],[DPS]]*タイプ一致係数,ゲージわざ表[[#This Row],[DPS]])</f>
        <v>39.473684210526002</v>
      </c>
      <c r="Q97" s="116">
        <f>IF(OR(ゲージわざ表[[#This Row],[タイプ]]=$V$2,ゲージわざ表[[#This Row],[タイプ]]=$W$2),ゲージわざ表[[#This Row],[威力_m]]*タイプ一致係数,ゲージわざ表[[#This Row],[威力_m]])</f>
        <v>150</v>
      </c>
      <c r="R97" s="91">
        <f>IF(OR(ゲージわざ表[[#This Row],[タイプ]]=$V$2,ゲージわざ表[[#This Row],[タイプ]]=$W$2),ゲージわざ表[[#This Row],[DPE]]*タイプ一致係数,ゲージわざ表[[#This Row],[DPE]])</f>
        <v>1.875</v>
      </c>
    </row>
    <row r="98" spans="1:18" ht="16.5" customHeight="1" x14ac:dyDescent="0.45">
      <c r="A98" s="120" t="s">
        <v>1774</v>
      </c>
      <c r="B98" s="120" t="s">
        <v>47</v>
      </c>
      <c r="C98" s="468">
        <v>85</v>
      </c>
      <c r="D98" s="91">
        <v>3</v>
      </c>
      <c r="E98" s="89">
        <v>28.333333333333002</v>
      </c>
      <c r="F98" s="116">
        <v>2</v>
      </c>
      <c r="G98" s="91">
        <v>2.1</v>
      </c>
      <c r="H98" s="468">
        <v>85</v>
      </c>
      <c r="I98" s="116">
        <v>40</v>
      </c>
      <c r="J98" s="91">
        <v>2.125</v>
      </c>
      <c r="K98" s="90" t="s">
        <v>1775</v>
      </c>
      <c r="L98" s="90">
        <v>1</v>
      </c>
      <c r="M98" s="90">
        <v>1</v>
      </c>
      <c r="N98" s="473" t="str">
        <f>IF(OR(ゲージわざ表[[#This Row],[タイプ]]=$V$2,ゲージわざ表[[#This Row],[タイプ]]=$W$2),"↑","")</f>
        <v/>
      </c>
      <c r="O98" s="116">
        <f>IF(OR(ゲージわざ表[[#This Row],[タイプ]]=$V$2,ゲージわざ表[[#This Row],[タイプ]]=$W$2),ゲージわざ表[[#This Row],[威力_g]]*タイプ一致係数,ゲージわざ表[[#This Row],[威力_g]])</f>
        <v>85</v>
      </c>
      <c r="P98" s="89">
        <f>IF(OR(ゲージわざ表[[#This Row],[タイプ]]=$V$2,ゲージわざ表[[#This Row],[タイプ]]=$W$2),ゲージわざ表[[#This Row],[DPS]]*タイプ一致係数,ゲージわざ表[[#This Row],[DPS]])</f>
        <v>28.333333333333002</v>
      </c>
      <c r="Q98" s="116">
        <f>IF(OR(ゲージわざ表[[#This Row],[タイプ]]=$V$2,ゲージわざ表[[#This Row],[タイプ]]=$W$2),ゲージわざ表[[#This Row],[威力_m]]*タイプ一致係数,ゲージわざ表[[#This Row],[威力_m]])</f>
        <v>85</v>
      </c>
      <c r="R98" s="91">
        <f>IF(OR(ゲージわざ表[[#This Row],[タイプ]]=$V$2,ゲージわざ表[[#This Row],[タイプ]]=$W$2),ゲージわざ表[[#This Row],[DPE]]*タイプ一致係数,ゲージわざ表[[#This Row],[DPE]])</f>
        <v>2.125</v>
      </c>
    </row>
    <row r="99" spans="1:18" ht="16.5" customHeight="1" x14ac:dyDescent="0.45">
      <c r="A99" s="120" t="s">
        <v>267</v>
      </c>
      <c r="B99" s="120" t="s">
        <v>47</v>
      </c>
      <c r="C99" s="468">
        <v>90</v>
      </c>
      <c r="D99" s="91">
        <v>2.7</v>
      </c>
      <c r="E99" s="89">
        <v>33.333333333333002</v>
      </c>
      <c r="F99" s="116">
        <v>2</v>
      </c>
      <c r="G99" s="91">
        <v>1.2</v>
      </c>
      <c r="H99" s="468">
        <v>90</v>
      </c>
      <c r="I99" s="116">
        <v>50</v>
      </c>
      <c r="J99" s="91">
        <v>1.8</v>
      </c>
      <c r="N99" s="473" t="str">
        <f>IF(OR(ゲージわざ表[[#This Row],[タイプ]]=$V$2,ゲージわざ表[[#This Row],[タイプ]]=$W$2),"↑","")</f>
        <v/>
      </c>
      <c r="O99" s="116">
        <f>IF(OR(ゲージわざ表[[#This Row],[タイプ]]=$V$2,ゲージわざ表[[#This Row],[タイプ]]=$W$2),ゲージわざ表[[#This Row],[威力_g]]*タイプ一致係数,ゲージわざ表[[#This Row],[威力_g]])</f>
        <v>90</v>
      </c>
      <c r="P99" s="89">
        <f>IF(OR(ゲージわざ表[[#This Row],[タイプ]]=$V$2,ゲージわざ表[[#This Row],[タイプ]]=$W$2),ゲージわざ表[[#This Row],[DPS]]*タイプ一致係数,ゲージわざ表[[#This Row],[DPS]])</f>
        <v>33.333333333333002</v>
      </c>
      <c r="Q99" s="116">
        <f>IF(OR(ゲージわざ表[[#This Row],[タイプ]]=$V$2,ゲージわざ表[[#This Row],[タイプ]]=$W$2),ゲージわざ表[[#This Row],[威力_m]]*タイプ一致係数,ゲージわざ表[[#This Row],[威力_m]])</f>
        <v>90</v>
      </c>
      <c r="R99" s="91">
        <f>IF(OR(ゲージわざ表[[#This Row],[タイプ]]=$V$2,ゲージわざ表[[#This Row],[タイプ]]=$W$2),ゲージわざ表[[#This Row],[DPE]]*タイプ一致係数,ゲージわざ表[[#This Row],[DPE]])</f>
        <v>1.8</v>
      </c>
    </row>
    <row r="100" spans="1:18" ht="16.5" customHeight="1" x14ac:dyDescent="0.45">
      <c r="A100" s="117" t="s">
        <v>213</v>
      </c>
      <c r="B100" s="117" t="s">
        <v>68</v>
      </c>
      <c r="C100" s="468">
        <v>35</v>
      </c>
      <c r="D100" s="91">
        <v>1.9</v>
      </c>
      <c r="E100" s="89">
        <v>18.421052631578998</v>
      </c>
      <c r="F100" s="116">
        <v>3</v>
      </c>
      <c r="G100" s="91">
        <v>1.1000000000000001</v>
      </c>
      <c r="H100" s="468">
        <v>40</v>
      </c>
      <c r="I100" s="116">
        <v>40</v>
      </c>
      <c r="J100" s="91">
        <v>1</v>
      </c>
      <c r="N100" s="473" t="str">
        <f>IF(OR(ゲージわざ表[[#This Row],[タイプ]]=$V$2,ゲージわざ表[[#This Row],[タイプ]]=$W$2),"↑","")</f>
        <v/>
      </c>
      <c r="O100" s="116">
        <f>IF(OR(ゲージわざ表[[#This Row],[タイプ]]=$V$2,ゲージわざ表[[#This Row],[タイプ]]=$W$2),ゲージわざ表[[#This Row],[威力_g]]*タイプ一致係数,ゲージわざ表[[#This Row],[威力_g]])</f>
        <v>35</v>
      </c>
      <c r="P100" s="89">
        <f>IF(OR(ゲージわざ表[[#This Row],[タイプ]]=$V$2,ゲージわざ表[[#This Row],[タイプ]]=$W$2),ゲージわざ表[[#This Row],[DPS]]*タイプ一致係数,ゲージわざ表[[#This Row],[DPS]])</f>
        <v>18.421052631578998</v>
      </c>
      <c r="Q100" s="116">
        <f>IF(OR(ゲージわざ表[[#This Row],[タイプ]]=$V$2,ゲージわざ表[[#This Row],[タイプ]]=$W$2),ゲージわざ表[[#This Row],[威力_m]]*タイプ一致係数,ゲージわざ表[[#This Row],[威力_m]])</f>
        <v>40</v>
      </c>
      <c r="R100" s="91">
        <f>IF(OR(ゲージわざ表[[#This Row],[タイプ]]=$V$2,ゲージわざ表[[#This Row],[タイプ]]=$W$2),ゲージわざ表[[#This Row],[DPE]]*タイプ一致係数,ゲージわざ表[[#This Row],[DPE]])</f>
        <v>1</v>
      </c>
    </row>
    <row r="101" spans="1:18" ht="16.5" customHeight="1" x14ac:dyDescent="0.45">
      <c r="A101" s="129" t="s">
        <v>280</v>
      </c>
      <c r="B101" s="129" t="s">
        <v>22</v>
      </c>
      <c r="C101" s="468">
        <v>70</v>
      </c>
      <c r="D101" s="91">
        <v>2.6</v>
      </c>
      <c r="E101" s="89">
        <v>26.923076923077002</v>
      </c>
      <c r="F101" s="116">
        <v>2</v>
      </c>
      <c r="G101" s="91">
        <v>1</v>
      </c>
      <c r="H101" s="468">
        <v>70</v>
      </c>
      <c r="I101" s="116">
        <v>55</v>
      </c>
      <c r="J101" s="91">
        <v>1.2727272727273</v>
      </c>
      <c r="N101" s="473" t="str">
        <f>IF(OR(ゲージわざ表[[#This Row],[タイプ]]=$V$2,ゲージわざ表[[#This Row],[タイプ]]=$W$2),"↑","")</f>
        <v/>
      </c>
      <c r="O101" s="116">
        <f>IF(OR(ゲージわざ表[[#This Row],[タイプ]]=$V$2,ゲージわざ表[[#This Row],[タイプ]]=$W$2),ゲージわざ表[[#This Row],[威力_g]]*タイプ一致係数,ゲージわざ表[[#This Row],[威力_g]])</f>
        <v>70</v>
      </c>
      <c r="P101" s="89">
        <f>IF(OR(ゲージわざ表[[#This Row],[タイプ]]=$V$2,ゲージわざ表[[#This Row],[タイプ]]=$W$2),ゲージわざ表[[#This Row],[DPS]]*タイプ一致係数,ゲージわざ表[[#This Row],[DPS]])</f>
        <v>26.923076923077002</v>
      </c>
      <c r="Q101" s="116">
        <f>IF(OR(ゲージわざ表[[#This Row],[タイプ]]=$V$2,ゲージわざ表[[#This Row],[タイプ]]=$W$2),ゲージわざ表[[#This Row],[威力_m]]*タイプ一致係数,ゲージわざ表[[#This Row],[威力_m]])</f>
        <v>70</v>
      </c>
      <c r="R101" s="91">
        <f>IF(OR(ゲージわざ表[[#This Row],[タイプ]]=$V$2,ゲージわざ表[[#This Row],[タイプ]]=$W$2),ゲージわざ表[[#This Row],[DPE]]*タイプ一致係数,ゲージわざ表[[#This Row],[DPE]])</f>
        <v>1.2727272727273</v>
      </c>
    </row>
    <row r="102" spans="1:18" ht="16.5" customHeight="1" x14ac:dyDescent="0.45">
      <c r="A102" s="120" t="s">
        <v>1773</v>
      </c>
      <c r="B102" s="120" t="s">
        <v>47</v>
      </c>
      <c r="C102" s="468">
        <v>90</v>
      </c>
      <c r="D102" s="91">
        <v>1.8</v>
      </c>
      <c r="E102" s="89">
        <v>50</v>
      </c>
      <c r="F102" s="116">
        <v>2</v>
      </c>
      <c r="G102" s="91">
        <v>1</v>
      </c>
      <c r="H102" s="468">
        <v>100</v>
      </c>
      <c r="I102" s="116">
        <v>55</v>
      </c>
      <c r="J102" s="91">
        <v>1.8181818181817999</v>
      </c>
      <c r="N102" s="473" t="str">
        <f>IF(OR(ゲージわざ表[[#This Row],[タイプ]]=$V$2,ゲージわざ表[[#This Row],[タイプ]]=$W$2),"↑","")</f>
        <v/>
      </c>
      <c r="O102" s="116">
        <f>IF(OR(ゲージわざ表[[#This Row],[タイプ]]=$V$2,ゲージわざ表[[#This Row],[タイプ]]=$W$2),ゲージわざ表[[#This Row],[威力_g]]*タイプ一致係数,ゲージわざ表[[#This Row],[威力_g]])</f>
        <v>90</v>
      </c>
      <c r="P102" s="89">
        <f>IF(OR(ゲージわざ表[[#This Row],[タイプ]]=$V$2,ゲージわざ表[[#This Row],[タイプ]]=$W$2),ゲージわざ表[[#This Row],[DPS]]*タイプ一致係数,ゲージわざ表[[#This Row],[DPS]])</f>
        <v>50</v>
      </c>
      <c r="Q102" s="116">
        <f>IF(OR(ゲージわざ表[[#This Row],[タイプ]]=$V$2,ゲージわざ表[[#This Row],[タイプ]]=$W$2),ゲージわざ表[[#This Row],[威力_m]]*タイプ一致係数,ゲージわざ表[[#This Row],[威力_m]])</f>
        <v>100</v>
      </c>
      <c r="R102" s="91">
        <f>IF(OR(ゲージわざ表[[#This Row],[タイプ]]=$V$2,ゲージわざ表[[#This Row],[タイプ]]=$W$2),ゲージわざ表[[#This Row],[DPE]]*タイプ一致係数,ゲージわざ表[[#This Row],[DPE]])</f>
        <v>1.8181818181817999</v>
      </c>
    </row>
    <row r="103" spans="1:18" ht="16.5" customHeight="1" x14ac:dyDescent="0.45">
      <c r="A103" s="123" t="s">
        <v>103</v>
      </c>
      <c r="B103" s="123" t="s">
        <v>12</v>
      </c>
      <c r="C103" s="468">
        <v>110</v>
      </c>
      <c r="D103" s="91">
        <v>2.6</v>
      </c>
      <c r="E103" s="89">
        <v>42.307692307692001</v>
      </c>
      <c r="F103" s="116">
        <v>1</v>
      </c>
      <c r="G103" s="91">
        <v>1.7</v>
      </c>
      <c r="H103" s="468">
        <v>110</v>
      </c>
      <c r="I103" s="116">
        <v>65</v>
      </c>
      <c r="J103" s="91">
        <v>1.6923076923077001</v>
      </c>
      <c r="N103" s="473" t="str">
        <f>IF(OR(ゲージわざ表[[#This Row],[タイプ]]=$V$2,ゲージわざ表[[#This Row],[タイプ]]=$W$2),"↑","")</f>
        <v/>
      </c>
      <c r="O103" s="116">
        <f>IF(OR(ゲージわざ表[[#This Row],[タイプ]]=$V$2,ゲージわざ表[[#This Row],[タイプ]]=$W$2),ゲージわざ表[[#This Row],[威力_g]]*タイプ一致係数,ゲージわざ表[[#This Row],[威力_g]])</f>
        <v>110</v>
      </c>
      <c r="P103" s="89">
        <f>IF(OR(ゲージわざ表[[#This Row],[タイプ]]=$V$2,ゲージわざ表[[#This Row],[タイプ]]=$W$2),ゲージわざ表[[#This Row],[DPS]]*タイプ一致係数,ゲージわざ表[[#This Row],[DPS]])</f>
        <v>42.307692307692001</v>
      </c>
      <c r="Q103" s="116">
        <f>IF(OR(ゲージわざ表[[#This Row],[タイプ]]=$V$2,ゲージわざ表[[#This Row],[タイプ]]=$W$2),ゲージわざ表[[#This Row],[威力_m]]*タイプ一致係数,ゲージわざ表[[#This Row],[威力_m]])</f>
        <v>110</v>
      </c>
      <c r="R103" s="91">
        <f>IF(OR(ゲージわざ表[[#This Row],[タイプ]]=$V$2,ゲージわざ表[[#This Row],[タイプ]]=$W$2),ゲージわざ表[[#This Row],[DPE]]*タイプ一致係数,ゲージわざ表[[#This Row],[DPE]])</f>
        <v>1.6923076923077001</v>
      </c>
    </row>
    <row r="104" spans="1:18" ht="16.5" customHeight="1" x14ac:dyDescent="0.45">
      <c r="A104" s="128" t="s">
        <v>1524</v>
      </c>
      <c r="B104" s="128" t="s">
        <v>111</v>
      </c>
      <c r="C104" s="468">
        <v>45</v>
      </c>
      <c r="D104" s="91">
        <v>1.9</v>
      </c>
      <c r="E104" s="89">
        <v>23.684210526316001</v>
      </c>
      <c r="F104" s="116">
        <v>3</v>
      </c>
      <c r="G104" s="91">
        <v>1.45</v>
      </c>
      <c r="H104" s="468">
        <v>25</v>
      </c>
      <c r="I104" s="116">
        <v>40</v>
      </c>
      <c r="J104" s="91">
        <v>0.625</v>
      </c>
      <c r="K104" s="90" t="s">
        <v>1769</v>
      </c>
      <c r="L104" s="90">
        <v>1</v>
      </c>
      <c r="M104" s="90">
        <v>1</v>
      </c>
      <c r="N104" s="473" t="str">
        <f>IF(OR(ゲージわざ表[[#This Row],[タイプ]]=$V$2,ゲージわざ表[[#This Row],[タイプ]]=$W$2),"↑","")</f>
        <v/>
      </c>
      <c r="O104" s="116">
        <f>IF(OR(ゲージわざ表[[#This Row],[タイプ]]=$V$2,ゲージわざ表[[#This Row],[タイプ]]=$W$2),ゲージわざ表[[#This Row],[威力_g]]*タイプ一致係数,ゲージわざ表[[#This Row],[威力_g]])</f>
        <v>45</v>
      </c>
      <c r="P104" s="89">
        <f>IF(OR(ゲージわざ表[[#This Row],[タイプ]]=$V$2,ゲージわざ表[[#This Row],[タイプ]]=$W$2),ゲージわざ表[[#This Row],[DPS]]*タイプ一致係数,ゲージわざ表[[#This Row],[DPS]])</f>
        <v>23.684210526316001</v>
      </c>
      <c r="Q104" s="116">
        <f>IF(OR(ゲージわざ表[[#This Row],[タイプ]]=$V$2,ゲージわざ表[[#This Row],[タイプ]]=$W$2),ゲージわざ表[[#This Row],[威力_m]]*タイプ一致係数,ゲージわざ表[[#This Row],[威力_m]])</f>
        <v>25</v>
      </c>
      <c r="R104" s="91">
        <f>IF(OR(ゲージわざ表[[#This Row],[タイプ]]=$V$2,ゲージわざ表[[#This Row],[タイプ]]=$W$2),ゲージわざ表[[#This Row],[DPE]]*タイプ一致係数,ゲージわざ表[[#This Row],[DPE]])</f>
        <v>0.625</v>
      </c>
    </row>
    <row r="105" spans="1:18" ht="16.5" customHeight="1" x14ac:dyDescent="0.45">
      <c r="A105" s="124" t="s">
        <v>1527</v>
      </c>
      <c r="B105" s="124" t="s">
        <v>4</v>
      </c>
      <c r="C105" s="468">
        <v>70</v>
      </c>
      <c r="D105" s="91">
        <v>1.7</v>
      </c>
      <c r="E105" s="89">
        <v>41.176470588234999</v>
      </c>
      <c r="F105" s="116">
        <v>3</v>
      </c>
      <c r="G105" s="91">
        <v>1.5</v>
      </c>
      <c r="H105" s="468">
        <v>75</v>
      </c>
      <c r="I105" s="116">
        <v>40</v>
      </c>
      <c r="J105" s="91">
        <v>1.875</v>
      </c>
      <c r="N105" s="473" t="str">
        <f>IF(OR(ゲージわざ表[[#This Row],[タイプ]]=$V$2,ゲージわざ表[[#This Row],[タイプ]]=$W$2),"↑","")</f>
        <v/>
      </c>
      <c r="O105" s="116">
        <f>IF(OR(ゲージわざ表[[#This Row],[タイプ]]=$V$2,ゲージわざ表[[#This Row],[タイプ]]=$W$2),ゲージわざ表[[#This Row],[威力_g]]*タイプ一致係数,ゲージわざ表[[#This Row],[威力_g]])</f>
        <v>70</v>
      </c>
      <c r="P105" s="89">
        <f>IF(OR(ゲージわざ表[[#This Row],[タイプ]]=$V$2,ゲージわざ表[[#This Row],[タイプ]]=$W$2),ゲージわざ表[[#This Row],[DPS]]*タイプ一致係数,ゲージわざ表[[#This Row],[DPS]])</f>
        <v>41.176470588234999</v>
      </c>
      <c r="Q105" s="116">
        <f>IF(OR(ゲージわざ表[[#This Row],[タイプ]]=$V$2,ゲージわざ表[[#This Row],[タイプ]]=$W$2),ゲージわざ表[[#This Row],[威力_m]]*タイプ一致係数,ゲージわざ表[[#This Row],[威力_m]])</f>
        <v>75</v>
      </c>
      <c r="R105" s="91">
        <f>IF(OR(ゲージわざ表[[#This Row],[タイプ]]=$V$2,ゲージわざ表[[#This Row],[タイプ]]=$W$2),ゲージわざ表[[#This Row],[DPE]]*タイプ一致係数,ゲージわざ表[[#This Row],[DPE]])</f>
        <v>1.875</v>
      </c>
    </row>
    <row r="106" spans="1:18" ht="16.5" customHeight="1" x14ac:dyDescent="0.45">
      <c r="A106" s="123" t="s">
        <v>1485</v>
      </c>
      <c r="B106" s="123" t="s">
        <v>12</v>
      </c>
      <c r="C106" s="468">
        <v>90</v>
      </c>
      <c r="D106" s="91">
        <v>2.6</v>
      </c>
      <c r="E106" s="89">
        <v>34.615384615384997</v>
      </c>
      <c r="F106" s="116">
        <v>2</v>
      </c>
      <c r="G106" s="91">
        <v>1.25</v>
      </c>
      <c r="H106" s="468">
        <v>90</v>
      </c>
      <c r="I106" s="116">
        <v>50</v>
      </c>
      <c r="J106" s="91">
        <v>1.8</v>
      </c>
      <c r="N106" s="473" t="str">
        <f>IF(OR(ゲージわざ表[[#This Row],[タイプ]]=$V$2,ゲージわざ表[[#This Row],[タイプ]]=$W$2),"↑","")</f>
        <v/>
      </c>
      <c r="O106" s="116">
        <f>IF(OR(ゲージわざ表[[#This Row],[タイプ]]=$V$2,ゲージわざ表[[#This Row],[タイプ]]=$W$2),ゲージわざ表[[#This Row],[威力_g]]*タイプ一致係数,ゲージわざ表[[#This Row],[威力_g]])</f>
        <v>90</v>
      </c>
      <c r="P106" s="89">
        <f>IF(OR(ゲージわざ表[[#This Row],[タイプ]]=$V$2,ゲージわざ表[[#This Row],[タイプ]]=$W$2),ゲージわざ表[[#This Row],[DPS]]*タイプ一致係数,ゲージわざ表[[#This Row],[DPS]])</f>
        <v>34.615384615384997</v>
      </c>
      <c r="Q106" s="116">
        <f>IF(OR(ゲージわざ表[[#This Row],[タイプ]]=$V$2,ゲージわざ表[[#This Row],[タイプ]]=$W$2),ゲージわざ表[[#This Row],[威力_m]]*タイプ一致係数,ゲージわざ表[[#This Row],[威力_m]])</f>
        <v>90</v>
      </c>
      <c r="R106" s="91">
        <f>IF(OR(ゲージわざ表[[#This Row],[タイプ]]=$V$2,ゲージわざ表[[#This Row],[タイプ]]=$W$2),ゲージわざ表[[#This Row],[DPE]]*タイプ一致係数,ゲージわざ表[[#This Row],[DPE]])</f>
        <v>1.8</v>
      </c>
    </row>
    <row r="107" spans="1:18" ht="16.5" customHeight="1" x14ac:dyDescent="0.45">
      <c r="A107" s="119" t="s">
        <v>1520</v>
      </c>
      <c r="B107" s="119" t="s">
        <v>43</v>
      </c>
      <c r="C107" s="468">
        <v>80</v>
      </c>
      <c r="D107" s="91">
        <v>2.9</v>
      </c>
      <c r="E107" s="89">
        <v>27.586206896552</v>
      </c>
      <c r="F107" s="116">
        <v>2</v>
      </c>
      <c r="G107" s="91">
        <v>1.95</v>
      </c>
      <c r="H107" s="468">
        <v>80</v>
      </c>
      <c r="I107" s="116">
        <v>60</v>
      </c>
      <c r="J107" s="91">
        <v>1.3333333333333</v>
      </c>
      <c r="N107" s="473" t="str">
        <f>IF(OR(ゲージわざ表[[#This Row],[タイプ]]=$V$2,ゲージわざ表[[#This Row],[タイプ]]=$W$2),"↑","")</f>
        <v/>
      </c>
      <c r="O107" s="116">
        <f>IF(OR(ゲージわざ表[[#This Row],[タイプ]]=$V$2,ゲージわざ表[[#This Row],[タイプ]]=$W$2),ゲージわざ表[[#This Row],[威力_g]]*タイプ一致係数,ゲージわざ表[[#This Row],[威力_g]])</f>
        <v>80</v>
      </c>
      <c r="P107" s="89">
        <f>IF(OR(ゲージわざ表[[#This Row],[タイプ]]=$V$2,ゲージわざ表[[#This Row],[タイプ]]=$W$2),ゲージわざ表[[#This Row],[DPS]]*タイプ一致係数,ゲージわざ表[[#This Row],[DPS]])</f>
        <v>27.586206896552</v>
      </c>
      <c r="Q107" s="116">
        <f>IF(OR(ゲージわざ表[[#This Row],[タイプ]]=$V$2,ゲージわざ表[[#This Row],[タイプ]]=$W$2),ゲージわざ表[[#This Row],[威力_m]]*タイプ一致係数,ゲージわざ表[[#This Row],[威力_m]])</f>
        <v>80</v>
      </c>
      <c r="R107" s="91">
        <f>IF(OR(ゲージわざ表[[#This Row],[タイプ]]=$V$2,ゲージわざ表[[#This Row],[タイプ]]=$W$2),ゲージわざ表[[#This Row],[DPE]]*タイプ一致係数,ゲージわざ表[[#This Row],[DPE]])</f>
        <v>1.3333333333333</v>
      </c>
    </row>
    <row r="108" spans="1:18" ht="16.5" customHeight="1" x14ac:dyDescent="0.45">
      <c r="A108" s="117" t="s">
        <v>1493</v>
      </c>
      <c r="B108" s="117" t="s">
        <v>68</v>
      </c>
      <c r="C108" s="468">
        <v>80</v>
      </c>
      <c r="D108" s="91">
        <v>2.5</v>
      </c>
      <c r="E108" s="89">
        <v>32</v>
      </c>
      <c r="F108" s="116">
        <v>2</v>
      </c>
      <c r="G108" s="91">
        <v>1.5</v>
      </c>
      <c r="H108" s="468">
        <v>80</v>
      </c>
      <c r="I108" s="116">
        <v>50</v>
      </c>
      <c r="J108" s="91">
        <v>1.6</v>
      </c>
      <c r="N108" s="473" t="str">
        <f>IF(OR(ゲージわざ表[[#This Row],[タイプ]]=$V$2,ゲージわざ表[[#This Row],[タイプ]]=$W$2),"↑","")</f>
        <v/>
      </c>
      <c r="O108" s="116">
        <f>IF(OR(ゲージわざ表[[#This Row],[タイプ]]=$V$2,ゲージわざ表[[#This Row],[タイプ]]=$W$2),ゲージわざ表[[#This Row],[威力_g]]*タイプ一致係数,ゲージわざ表[[#This Row],[威力_g]])</f>
        <v>80</v>
      </c>
      <c r="P108" s="89">
        <f>IF(OR(ゲージわざ表[[#This Row],[タイプ]]=$V$2,ゲージわざ表[[#This Row],[タイプ]]=$W$2),ゲージわざ表[[#This Row],[DPS]]*タイプ一致係数,ゲージわざ表[[#This Row],[DPS]])</f>
        <v>32</v>
      </c>
      <c r="Q108" s="116">
        <f>IF(OR(ゲージわざ表[[#This Row],[タイプ]]=$V$2,ゲージわざ表[[#This Row],[タイプ]]=$W$2),ゲージわざ表[[#This Row],[威力_m]]*タイプ一致係数,ゲージわざ表[[#This Row],[威力_m]])</f>
        <v>80</v>
      </c>
      <c r="R108" s="91">
        <f>IF(OR(ゲージわざ表[[#This Row],[タイプ]]=$V$2,ゲージわざ表[[#This Row],[タイプ]]=$W$2),ゲージわざ表[[#This Row],[DPE]]*タイプ一致係数,ゲージわざ表[[#This Row],[DPE]])</f>
        <v>1.6</v>
      </c>
    </row>
    <row r="109" spans="1:18" ht="16.5" customHeight="1" x14ac:dyDescent="0.45">
      <c r="A109" s="121" t="s">
        <v>132</v>
      </c>
      <c r="B109" s="121" t="s">
        <v>62</v>
      </c>
      <c r="C109" s="468">
        <v>130</v>
      </c>
      <c r="D109" s="91">
        <v>3.1</v>
      </c>
      <c r="E109" s="89">
        <v>41.935483870968</v>
      </c>
      <c r="F109" s="116">
        <v>1</v>
      </c>
      <c r="G109" s="91">
        <v>1.5</v>
      </c>
      <c r="H109" s="468">
        <v>130</v>
      </c>
      <c r="I109" s="116">
        <v>75</v>
      </c>
      <c r="J109" s="91">
        <v>1.7333333333333001</v>
      </c>
      <c r="N109" s="473" t="str">
        <f>IF(OR(ゲージわざ表[[#This Row],[タイプ]]=$V$2,ゲージわざ表[[#This Row],[タイプ]]=$W$2),"↑","")</f>
        <v/>
      </c>
      <c r="O109" s="116">
        <f>IF(OR(ゲージわざ表[[#This Row],[タイプ]]=$V$2,ゲージわざ表[[#This Row],[タイプ]]=$W$2),ゲージわざ表[[#This Row],[威力_g]]*タイプ一致係数,ゲージわざ表[[#This Row],[威力_g]])</f>
        <v>130</v>
      </c>
      <c r="P109" s="89">
        <f>IF(OR(ゲージわざ表[[#This Row],[タイプ]]=$V$2,ゲージわざ表[[#This Row],[タイプ]]=$W$2),ゲージわざ表[[#This Row],[DPS]]*タイプ一致係数,ゲージわざ表[[#This Row],[DPS]])</f>
        <v>41.935483870968</v>
      </c>
      <c r="Q109" s="116">
        <f>IF(OR(ゲージわざ表[[#This Row],[タイプ]]=$V$2,ゲージわざ表[[#This Row],[タイプ]]=$W$2),ゲージわざ表[[#This Row],[威力_m]]*タイプ一致係数,ゲージわざ表[[#This Row],[威力_m]])</f>
        <v>130</v>
      </c>
      <c r="R109" s="91">
        <f>IF(OR(ゲージわざ表[[#This Row],[タイプ]]=$V$2,ゲージわざ表[[#This Row],[タイプ]]=$W$2),ゲージわざ表[[#This Row],[DPE]]*タイプ一致係数,ゲージわざ表[[#This Row],[DPE]])</f>
        <v>1.7333333333333001</v>
      </c>
    </row>
    <row r="110" spans="1:18" ht="16.5" customHeight="1" x14ac:dyDescent="0.45">
      <c r="A110" s="117" t="s">
        <v>1508</v>
      </c>
      <c r="B110" s="117" t="s">
        <v>68</v>
      </c>
      <c r="C110" s="468">
        <v>55</v>
      </c>
      <c r="D110" s="91">
        <v>1.7</v>
      </c>
      <c r="E110" s="89">
        <v>32.352941176470999</v>
      </c>
      <c r="F110" s="116">
        <v>2</v>
      </c>
      <c r="G110" s="91">
        <v>1.1000000000000001</v>
      </c>
      <c r="H110" s="468">
        <v>55</v>
      </c>
      <c r="I110" s="116">
        <v>40</v>
      </c>
      <c r="J110" s="91">
        <v>1.375</v>
      </c>
      <c r="N110" s="473" t="str">
        <f>IF(OR(ゲージわざ表[[#This Row],[タイプ]]=$V$2,ゲージわざ表[[#This Row],[タイプ]]=$W$2),"↑","")</f>
        <v/>
      </c>
      <c r="O110" s="116">
        <f>IF(OR(ゲージわざ表[[#This Row],[タイプ]]=$V$2,ゲージわざ表[[#This Row],[タイプ]]=$W$2),ゲージわざ表[[#This Row],[威力_g]]*タイプ一致係数,ゲージわざ表[[#This Row],[威力_g]])</f>
        <v>55</v>
      </c>
      <c r="P110" s="89">
        <f>IF(OR(ゲージわざ表[[#This Row],[タイプ]]=$V$2,ゲージわざ表[[#This Row],[タイプ]]=$W$2),ゲージわざ表[[#This Row],[DPS]]*タイプ一致係数,ゲージわざ表[[#This Row],[DPS]])</f>
        <v>32.352941176470999</v>
      </c>
      <c r="Q110" s="116">
        <f>IF(OR(ゲージわざ表[[#This Row],[タイプ]]=$V$2,ゲージわざ表[[#This Row],[タイプ]]=$W$2),ゲージわざ表[[#This Row],[威力_m]]*タイプ一致係数,ゲージわざ表[[#This Row],[威力_m]])</f>
        <v>55</v>
      </c>
      <c r="R110" s="91">
        <f>IF(OR(ゲージわざ表[[#This Row],[タイプ]]=$V$2,ゲージわざ表[[#This Row],[タイプ]]=$W$2),ゲージわざ表[[#This Row],[DPE]]*タイプ一致係数,ゲージわざ表[[#This Row],[DPE]])</f>
        <v>1.375</v>
      </c>
    </row>
    <row r="111" spans="1:18" ht="16.5" customHeight="1" x14ac:dyDescent="0.45">
      <c r="A111" s="120" t="s">
        <v>3769</v>
      </c>
      <c r="B111" s="120" t="s">
        <v>47</v>
      </c>
      <c r="C111" s="468">
        <v>110</v>
      </c>
      <c r="D111" s="91">
        <v>2.2999999999999998</v>
      </c>
      <c r="E111" s="89">
        <v>47.826086956521998</v>
      </c>
      <c r="F111" s="116">
        <v>2</v>
      </c>
      <c r="G111" s="91">
        <v>1</v>
      </c>
      <c r="H111" s="468">
        <v>0</v>
      </c>
      <c r="I111" s="116">
        <v>0</v>
      </c>
      <c r="N111" s="473" t="str">
        <f>IF(OR(ゲージわざ表[[#This Row],[タイプ]]=$V$2,ゲージわざ表[[#This Row],[タイプ]]=$W$2),"↑","")</f>
        <v/>
      </c>
      <c r="O111" s="90">
        <f>IF(OR(ゲージわざ表[[#This Row],[タイプ]]=$V$2,ゲージわざ表[[#This Row],[タイプ]]=$W$2),ゲージわざ表[[#This Row],[威力_g]]*タイプ一致係数,ゲージわざ表[[#This Row],[威力_g]])</f>
        <v>110</v>
      </c>
      <c r="P111" s="89">
        <f>IF(OR(ゲージわざ表[[#This Row],[タイプ]]=$V$2,ゲージわざ表[[#This Row],[タイプ]]=$W$2),ゲージわざ表[[#This Row],[DPS]]*タイプ一致係数,ゲージわざ表[[#This Row],[DPS]])</f>
        <v>47.826086956521998</v>
      </c>
      <c r="Q111" s="90">
        <f>IF(OR(ゲージわざ表[[#This Row],[タイプ]]=$V$2,ゲージわざ表[[#This Row],[タイプ]]=$W$2),ゲージわざ表[[#This Row],[威力_m]]*タイプ一致係数,ゲージわざ表[[#This Row],[威力_m]])</f>
        <v>0</v>
      </c>
      <c r="R111" s="91">
        <f>IF(OR(ゲージわざ表[[#This Row],[タイプ]]=$V$2,ゲージわざ表[[#This Row],[タイプ]]=$W$2),ゲージわざ表[[#This Row],[DPE]]*タイプ一致係数,ゲージわざ表[[#This Row],[DPE]])</f>
        <v>0</v>
      </c>
    </row>
    <row r="112" spans="1:18" ht="16.5" customHeight="1" x14ac:dyDescent="0.45">
      <c r="A112" s="129" t="s">
        <v>1563</v>
      </c>
      <c r="B112" s="129" t="s">
        <v>22</v>
      </c>
      <c r="C112" s="468">
        <v>110</v>
      </c>
      <c r="D112" s="91">
        <v>3.3</v>
      </c>
      <c r="E112" s="89">
        <v>33.333333333333002</v>
      </c>
      <c r="F112" s="116">
        <v>2</v>
      </c>
      <c r="G112" s="91">
        <v>2.75</v>
      </c>
      <c r="H112" s="468">
        <v>110</v>
      </c>
      <c r="I112" s="116">
        <v>50</v>
      </c>
      <c r="J112" s="91">
        <v>2.2000000000000002</v>
      </c>
      <c r="N112" s="473" t="str">
        <f>IF(OR(ゲージわざ表[[#This Row],[タイプ]]=$V$2,ゲージわざ表[[#This Row],[タイプ]]=$W$2),"↑","")</f>
        <v/>
      </c>
      <c r="O112" s="116">
        <f>IF(OR(ゲージわざ表[[#This Row],[タイプ]]=$V$2,ゲージわざ表[[#This Row],[タイプ]]=$W$2),ゲージわざ表[[#This Row],[威力_g]]*タイプ一致係数,ゲージわざ表[[#This Row],[威力_g]])</f>
        <v>110</v>
      </c>
      <c r="P112" s="89">
        <f>IF(OR(ゲージわざ表[[#This Row],[タイプ]]=$V$2,ゲージわざ表[[#This Row],[タイプ]]=$W$2),ゲージわざ表[[#This Row],[DPS]]*タイプ一致係数,ゲージわざ表[[#This Row],[DPS]])</f>
        <v>33.333333333333002</v>
      </c>
      <c r="Q112" s="116">
        <f>IF(OR(ゲージわざ表[[#This Row],[タイプ]]=$V$2,ゲージわざ表[[#This Row],[タイプ]]=$W$2),ゲージわざ表[[#This Row],[威力_m]]*タイプ一致係数,ゲージわざ表[[#This Row],[威力_m]])</f>
        <v>110</v>
      </c>
      <c r="R112" s="91">
        <f>IF(OR(ゲージわざ表[[#This Row],[タイプ]]=$V$2,ゲージわざ表[[#This Row],[タイプ]]=$W$2),ゲージわざ表[[#This Row],[DPE]]*タイプ一致係数,ゲージわざ表[[#This Row],[DPE]])</f>
        <v>2.2000000000000002</v>
      </c>
    </row>
    <row r="113" spans="1:18" ht="16.5" customHeight="1" x14ac:dyDescent="0.45">
      <c r="A113" s="129" t="s">
        <v>300</v>
      </c>
      <c r="B113" s="129" t="s">
        <v>22</v>
      </c>
      <c r="C113" s="468">
        <v>45</v>
      </c>
      <c r="D113" s="91">
        <v>1.2</v>
      </c>
      <c r="E113" s="89">
        <v>37.5</v>
      </c>
      <c r="F113" s="116">
        <v>3</v>
      </c>
      <c r="G113" s="91">
        <v>0.45</v>
      </c>
      <c r="H113" s="468">
        <v>55</v>
      </c>
      <c r="I113" s="116">
        <v>40</v>
      </c>
      <c r="J113" s="91">
        <v>1.375</v>
      </c>
      <c r="N113" s="473" t="str">
        <f>IF(OR(ゲージわざ表[[#This Row],[タイプ]]=$V$2,ゲージわざ表[[#This Row],[タイプ]]=$W$2),"↑","")</f>
        <v/>
      </c>
      <c r="O113" s="116">
        <f>IF(OR(ゲージわざ表[[#This Row],[タイプ]]=$V$2,ゲージわざ表[[#This Row],[タイプ]]=$W$2),ゲージわざ表[[#This Row],[威力_g]]*タイプ一致係数,ゲージわざ表[[#This Row],[威力_g]])</f>
        <v>45</v>
      </c>
      <c r="P113" s="89">
        <f>IF(OR(ゲージわざ表[[#This Row],[タイプ]]=$V$2,ゲージわざ表[[#This Row],[タイプ]]=$W$2),ゲージわざ表[[#This Row],[DPS]]*タイプ一致係数,ゲージわざ表[[#This Row],[DPS]])</f>
        <v>37.5</v>
      </c>
      <c r="Q113" s="116">
        <f>IF(OR(ゲージわざ表[[#This Row],[タイプ]]=$V$2,ゲージわざ表[[#This Row],[タイプ]]=$W$2),ゲージわざ表[[#This Row],[威力_m]]*タイプ一致係数,ゲージわざ表[[#This Row],[威力_m]])</f>
        <v>55</v>
      </c>
      <c r="R113" s="91">
        <f>IF(OR(ゲージわざ表[[#This Row],[タイプ]]=$V$2,ゲージわざ表[[#This Row],[タイプ]]=$W$2),ゲージわざ表[[#This Row],[DPE]]*タイプ一致係数,ゲージわざ表[[#This Row],[DPE]])</f>
        <v>1.375</v>
      </c>
    </row>
    <row r="114" spans="1:18" ht="16.5" customHeight="1" x14ac:dyDescent="0.45">
      <c r="A114" s="131" t="s">
        <v>1517</v>
      </c>
      <c r="B114" s="131" t="s">
        <v>72</v>
      </c>
      <c r="C114" s="468">
        <v>90</v>
      </c>
      <c r="D114" s="91">
        <v>2</v>
      </c>
      <c r="E114" s="89">
        <v>45</v>
      </c>
      <c r="F114" s="116">
        <v>1</v>
      </c>
      <c r="G114" s="91">
        <v>1</v>
      </c>
      <c r="H114" s="468">
        <v>90</v>
      </c>
      <c r="I114" s="116">
        <v>55</v>
      </c>
      <c r="J114" s="91">
        <v>1.6363636363636</v>
      </c>
      <c r="N114" s="473" t="str">
        <f>IF(OR(ゲージわざ表[[#This Row],[タイプ]]=$V$2,ゲージわざ表[[#This Row],[タイプ]]=$W$2),"↑","")</f>
        <v/>
      </c>
      <c r="O114" s="116">
        <f>IF(OR(ゲージわざ表[[#This Row],[タイプ]]=$V$2,ゲージわざ表[[#This Row],[タイプ]]=$W$2),ゲージわざ表[[#This Row],[威力_g]]*タイプ一致係数,ゲージわざ表[[#This Row],[威力_g]])</f>
        <v>90</v>
      </c>
      <c r="P114" s="89">
        <f>IF(OR(ゲージわざ表[[#This Row],[タイプ]]=$V$2,ゲージわざ表[[#This Row],[タイプ]]=$W$2),ゲージわざ表[[#This Row],[DPS]]*タイプ一致係数,ゲージわざ表[[#This Row],[DPS]])</f>
        <v>45</v>
      </c>
      <c r="Q114" s="116">
        <f>IF(OR(ゲージわざ表[[#This Row],[タイプ]]=$V$2,ゲージわざ表[[#This Row],[タイプ]]=$W$2),ゲージわざ表[[#This Row],[威力_m]]*タイプ一致係数,ゲージわざ表[[#This Row],[威力_m]])</f>
        <v>90</v>
      </c>
      <c r="R114" s="91">
        <f>IF(OR(ゲージわざ表[[#This Row],[タイプ]]=$V$2,ゲージわざ表[[#This Row],[タイプ]]=$W$2),ゲージわざ表[[#This Row],[DPE]]*タイプ一致係数,ゲージわざ表[[#This Row],[DPE]])</f>
        <v>1.6363636363636</v>
      </c>
    </row>
    <row r="115" spans="1:18" ht="16.5" customHeight="1" x14ac:dyDescent="0.45">
      <c r="A115" s="132" t="s">
        <v>167</v>
      </c>
      <c r="B115" s="132" t="s">
        <v>32</v>
      </c>
      <c r="C115" s="468">
        <v>110</v>
      </c>
      <c r="D115" s="91">
        <v>3.2</v>
      </c>
      <c r="E115" s="89">
        <v>34.375</v>
      </c>
      <c r="F115" s="116">
        <v>1</v>
      </c>
      <c r="G115" s="91">
        <v>2</v>
      </c>
      <c r="H115" s="468">
        <v>110</v>
      </c>
      <c r="I115" s="116">
        <v>65</v>
      </c>
      <c r="J115" s="91">
        <v>1.6923076923077001</v>
      </c>
      <c r="N115" s="473" t="str">
        <f>IF(OR(ゲージわざ表[[#This Row],[タイプ]]=$V$2,ゲージわざ表[[#This Row],[タイプ]]=$W$2),"↑","")</f>
        <v/>
      </c>
      <c r="O115" s="116">
        <f>IF(OR(ゲージわざ表[[#This Row],[タイプ]]=$V$2,ゲージわざ表[[#This Row],[タイプ]]=$W$2),ゲージわざ表[[#This Row],[威力_g]]*タイプ一致係数,ゲージわざ表[[#This Row],[威力_g]])</f>
        <v>110</v>
      </c>
      <c r="P115" s="89">
        <f>IF(OR(ゲージわざ表[[#This Row],[タイプ]]=$V$2,ゲージわざ表[[#This Row],[タイプ]]=$W$2),ゲージわざ表[[#This Row],[DPS]]*タイプ一致係数,ゲージわざ表[[#This Row],[DPS]])</f>
        <v>34.375</v>
      </c>
      <c r="Q115" s="116">
        <f>IF(OR(ゲージわざ表[[#This Row],[タイプ]]=$V$2,ゲージわざ表[[#This Row],[タイプ]]=$W$2),ゲージわざ表[[#This Row],[威力_m]]*タイプ一致係数,ゲージわざ表[[#This Row],[威力_m]])</f>
        <v>110</v>
      </c>
      <c r="R115" s="91">
        <f>IF(OR(ゲージわざ表[[#This Row],[タイプ]]=$V$2,ゲージわざ表[[#This Row],[タイプ]]=$W$2),ゲージわざ表[[#This Row],[DPE]]*タイプ一致係数,ゲージわざ表[[#This Row],[DPE]])</f>
        <v>1.6923076923077001</v>
      </c>
    </row>
    <row r="116" spans="1:18" ht="16.5" customHeight="1" x14ac:dyDescent="0.45">
      <c r="A116" s="132" t="s">
        <v>1533</v>
      </c>
      <c r="B116" s="132" t="s">
        <v>32</v>
      </c>
      <c r="C116" s="468">
        <v>50</v>
      </c>
      <c r="D116" s="91">
        <v>2.1</v>
      </c>
      <c r="E116" s="89">
        <v>23.809523809523998</v>
      </c>
      <c r="F116" s="116">
        <v>3</v>
      </c>
      <c r="G116" s="91">
        <v>1.2</v>
      </c>
      <c r="H116" s="468">
        <v>50</v>
      </c>
      <c r="I116" s="116">
        <v>40</v>
      </c>
      <c r="J116" s="91">
        <v>1.25</v>
      </c>
      <c r="N116" s="473" t="str">
        <f>IF(OR(ゲージわざ表[[#This Row],[タイプ]]=$V$2,ゲージわざ表[[#This Row],[タイプ]]=$W$2),"↑","")</f>
        <v/>
      </c>
      <c r="O116" s="116">
        <f>IF(OR(ゲージわざ表[[#This Row],[タイプ]]=$V$2,ゲージわざ表[[#This Row],[タイプ]]=$W$2),ゲージわざ表[[#This Row],[威力_g]]*タイプ一致係数,ゲージわざ表[[#This Row],[威力_g]])</f>
        <v>50</v>
      </c>
      <c r="P116" s="89">
        <f>IF(OR(ゲージわざ表[[#This Row],[タイプ]]=$V$2,ゲージわざ表[[#This Row],[タイプ]]=$W$2),ゲージわざ表[[#This Row],[DPS]]*タイプ一致係数,ゲージわざ表[[#This Row],[DPS]])</f>
        <v>23.809523809523998</v>
      </c>
      <c r="Q116" s="116">
        <f>IF(OR(ゲージわざ表[[#This Row],[タイプ]]=$V$2,ゲージわざ表[[#This Row],[タイプ]]=$W$2),ゲージわざ表[[#This Row],[威力_m]]*タイプ一致係数,ゲージわざ表[[#This Row],[威力_m]])</f>
        <v>50</v>
      </c>
      <c r="R116" s="91">
        <f>IF(OR(ゲージわざ表[[#This Row],[タイプ]]=$V$2,ゲージわざ表[[#This Row],[タイプ]]=$W$2),ゲージわざ表[[#This Row],[DPE]]*タイプ一致係数,ゲージわざ表[[#This Row],[DPE]])</f>
        <v>1.25</v>
      </c>
    </row>
    <row r="117" spans="1:18" ht="16.5" customHeight="1" x14ac:dyDescent="0.45">
      <c r="A117" s="132" t="s">
        <v>124</v>
      </c>
      <c r="B117" s="132" t="s">
        <v>32</v>
      </c>
      <c r="C117" s="468">
        <v>80</v>
      </c>
      <c r="D117" s="91">
        <v>2.2999999999999998</v>
      </c>
      <c r="E117" s="89">
        <v>34.782608695652002</v>
      </c>
      <c r="F117" s="116">
        <v>2</v>
      </c>
      <c r="G117" s="91">
        <v>1.1000000000000001</v>
      </c>
      <c r="H117" s="468">
        <v>80</v>
      </c>
      <c r="I117" s="116">
        <v>50</v>
      </c>
      <c r="J117" s="91">
        <v>1.6</v>
      </c>
      <c r="N117" s="473" t="str">
        <f>IF(OR(ゲージわざ表[[#This Row],[タイプ]]=$V$2,ゲージわざ表[[#This Row],[タイプ]]=$W$2),"↑","")</f>
        <v/>
      </c>
      <c r="O117" s="116">
        <f>IF(OR(ゲージわざ表[[#This Row],[タイプ]]=$V$2,ゲージわざ表[[#This Row],[タイプ]]=$W$2),ゲージわざ表[[#This Row],[威力_g]]*タイプ一致係数,ゲージわざ表[[#This Row],[威力_g]])</f>
        <v>80</v>
      </c>
      <c r="P117" s="89">
        <f>IF(OR(ゲージわざ表[[#This Row],[タイプ]]=$V$2,ゲージわざ表[[#This Row],[タイプ]]=$W$2),ゲージわざ表[[#This Row],[DPS]]*タイプ一致係数,ゲージわざ表[[#This Row],[DPS]])</f>
        <v>34.782608695652002</v>
      </c>
      <c r="Q117" s="116">
        <f>IF(OR(ゲージわざ表[[#This Row],[タイプ]]=$V$2,ゲージわざ表[[#This Row],[タイプ]]=$W$2),ゲージわざ表[[#This Row],[威力_m]]*タイプ一致係数,ゲージわざ表[[#This Row],[威力_m]])</f>
        <v>80</v>
      </c>
      <c r="R117" s="91">
        <f>IF(OR(ゲージわざ表[[#This Row],[タイプ]]=$V$2,ゲージわざ表[[#This Row],[タイプ]]=$W$2),ゲージわざ表[[#This Row],[DPE]]*タイプ一致係数,ゲージわざ表[[#This Row],[DPE]])</f>
        <v>1.6</v>
      </c>
    </row>
    <row r="118" spans="1:18" ht="16.5" customHeight="1" x14ac:dyDescent="0.45">
      <c r="A118" s="124" t="s">
        <v>0</v>
      </c>
      <c r="B118" s="124" t="s">
        <v>4</v>
      </c>
      <c r="C118" s="468">
        <v>70</v>
      </c>
      <c r="D118" s="91">
        <v>2.1</v>
      </c>
      <c r="E118" s="89">
        <v>33.333333333333002</v>
      </c>
      <c r="F118" s="116">
        <v>2</v>
      </c>
      <c r="G118" s="91">
        <v>1.5</v>
      </c>
      <c r="H118" s="468">
        <v>70</v>
      </c>
      <c r="I118" s="116">
        <v>50</v>
      </c>
      <c r="J118" s="91">
        <v>1.4</v>
      </c>
      <c r="N118" s="473" t="str">
        <f>IF(OR(ゲージわざ表[[#This Row],[タイプ]]=$V$2,ゲージわざ表[[#This Row],[タイプ]]=$W$2),"↑","")</f>
        <v/>
      </c>
      <c r="O118" s="116">
        <f>IF(OR(ゲージわざ表[[#This Row],[タイプ]]=$V$2,ゲージわざ表[[#This Row],[タイプ]]=$W$2),ゲージわざ表[[#This Row],[威力_g]]*タイプ一致係数,ゲージわざ表[[#This Row],[威力_g]])</f>
        <v>70</v>
      </c>
      <c r="P118" s="89">
        <f>IF(OR(ゲージわざ表[[#This Row],[タイプ]]=$V$2,ゲージわざ表[[#This Row],[タイプ]]=$W$2),ゲージわざ表[[#This Row],[DPS]]*タイプ一致係数,ゲージわざ表[[#This Row],[DPS]])</f>
        <v>33.333333333333002</v>
      </c>
      <c r="Q118" s="116">
        <f>IF(OR(ゲージわざ表[[#This Row],[タイプ]]=$V$2,ゲージわざ表[[#This Row],[タイプ]]=$W$2),ゲージわざ表[[#This Row],[威力_m]]*タイプ一致係数,ゲージわざ表[[#This Row],[威力_m]])</f>
        <v>70</v>
      </c>
      <c r="R118" s="91">
        <f>IF(OR(ゲージわざ表[[#This Row],[タイプ]]=$V$2,ゲージわざ表[[#This Row],[タイプ]]=$W$2),ゲージわざ表[[#This Row],[DPE]]*タイプ一致係数,ゲージわざ表[[#This Row],[DPE]])</f>
        <v>1.4</v>
      </c>
    </row>
    <row r="119" spans="1:18" ht="16.5" customHeight="1" x14ac:dyDescent="0.45">
      <c r="A119" s="118" t="s">
        <v>302</v>
      </c>
      <c r="B119" s="118" t="s">
        <v>8</v>
      </c>
      <c r="C119" s="468">
        <v>65</v>
      </c>
      <c r="D119" s="91">
        <v>2.5</v>
      </c>
      <c r="E119" s="89">
        <v>26</v>
      </c>
      <c r="F119" s="116">
        <v>3</v>
      </c>
      <c r="G119" s="91">
        <v>1.7</v>
      </c>
      <c r="H119" s="468">
        <v>65</v>
      </c>
      <c r="I119" s="116">
        <v>45</v>
      </c>
      <c r="J119" s="91">
        <v>1.4444444444444</v>
      </c>
      <c r="N119" s="473" t="str">
        <f>IF(OR(ゲージわざ表[[#This Row],[タイプ]]=$V$2,ゲージわざ表[[#This Row],[タイプ]]=$W$2),"↑","")</f>
        <v/>
      </c>
      <c r="O119" s="116">
        <f>IF(OR(ゲージわざ表[[#This Row],[タイプ]]=$V$2,ゲージわざ表[[#This Row],[タイプ]]=$W$2),ゲージわざ表[[#This Row],[威力_g]]*タイプ一致係数,ゲージわざ表[[#This Row],[威力_g]])</f>
        <v>65</v>
      </c>
      <c r="P119" s="89">
        <f>IF(OR(ゲージわざ表[[#This Row],[タイプ]]=$V$2,ゲージわざ表[[#This Row],[タイプ]]=$W$2),ゲージわざ表[[#This Row],[DPS]]*タイプ一致係数,ゲージわざ表[[#This Row],[DPS]])</f>
        <v>26</v>
      </c>
      <c r="Q119" s="116">
        <f>IF(OR(ゲージわざ表[[#This Row],[タイプ]]=$V$2,ゲージわざ表[[#This Row],[タイプ]]=$W$2),ゲージわざ表[[#This Row],[威力_m]]*タイプ一致係数,ゲージわざ表[[#This Row],[威力_m]])</f>
        <v>65</v>
      </c>
      <c r="R119" s="91">
        <f>IF(OR(ゲージわざ表[[#This Row],[タイプ]]=$V$2,ゲージわざ表[[#This Row],[タイプ]]=$W$2),ゲージわざ表[[#This Row],[DPE]]*タイプ一致係数,ゲージわざ表[[#This Row],[DPE]])</f>
        <v>1.4444444444444</v>
      </c>
    </row>
    <row r="120" spans="1:18" ht="16.5" customHeight="1" x14ac:dyDescent="0.45">
      <c r="A120" s="131" t="s">
        <v>1530</v>
      </c>
      <c r="B120" s="131" t="s">
        <v>72</v>
      </c>
      <c r="C120" s="468">
        <v>110</v>
      </c>
      <c r="D120" s="91">
        <v>2.7</v>
      </c>
      <c r="E120" s="89">
        <v>40.740740740741003</v>
      </c>
      <c r="F120" s="116">
        <v>1</v>
      </c>
      <c r="G120" s="91">
        <v>1.2</v>
      </c>
      <c r="H120" s="468">
        <v>110</v>
      </c>
      <c r="I120" s="116">
        <v>65</v>
      </c>
      <c r="J120" s="91">
        <v>1.6923076923077001</v>
      </c>
      <c r="N120" s="473" t="str">
        <f>IF(OR(ゲージわざ表[[#This Row],[タイプ]]=$V$2,ゲージわざ表[[#This Row],[タイプ]]=$W$2),"↑","")</f>
        <v/>
      </c>
      <c r="O120" s="116">
        <f>IF(OR(ゲージわざ表[[#This Row],[タイプ]]=$V$2,ゲージわざ表[[#This Row],[タイプ]]=$W$2),ゲージわざ表[[#This Row],[威力_g]]*タイプ一致係数,ゲージわざ表[[#This Row],[威力_g]])</f>
        <v>110</v>
      </c>
      <c r="P120" s="89">
        <f>IF(OR(ゲージわざ表[[#This Row],[タイプ]]=$V$2,ゲージわざ表[[#This Row],[タイプ]]=$W$2),ゲージわざ表[[#This Row],[DPS]]*タイプ一致係数,ゲージわざ表[[#This Row],[DPS]])</f>
        <v>40.740740740741003</v>
      </c>
      <c r="Q120" s="116">
        <f>IF(OR(ゲージわざ表[[#This Row],[タイプ]]=$V$2,ゲージわざ表[[#This Row],[タイプ]]=$W$2),ゲージわざ表[[#This Row],[威力_m]]*タイプ一致係数,ゲージわざ表[[#This Row],[威力_m]])</f>
        <v>110</v>
      </c>
      <c r="R120" s="91">
        <f>IF(OR(ゲージわざ表[[#This Row],[タイプ]]=$V$2,ゲージわざ表[[#This Row],[タイプ]]=$W$2),ゲージわざ表[[#This Row],[DPE]]*タイプ一致係数,ゲージわざ表[[#This Row],[DPE]])</f>
        <v>1.6923076923077001</v>
      </c>
    </row>
    <row r="121" spans="1:18" ht="16.5" customHeight="1" x14ac:dyDescent="0.45">
      <c r="A121" s="130" t="s">
        <v>1538</v>
      </c>
      <c r="B121" s="130" t="s">
        <v>3</v>
      </c>
      <c r="C121" s="468">
        <v>40</v>
      </c>
      <c r="D121" s="91">
        <v>1.6</v>
      </c>
      <c r="E121" s="89">
        <v>25</v>
      </c>
      <c r="F121" s="116">
        <v>3</v>
      </c>
      <c r="G121" s="91">
        <v>1</v>
      </c>
      <c r="H121" s="468">
        <v>40</v>
      </c>
      <c r="I121" s="116">
        <v>35</v>
      </c>
      <c r="J121" s="91">
        <v>1.1428571428570999</v>
      </c>
      <c r="N121" s="473" t="str">
        <f>IF(OR(ゲージわざ表[[#This Row],[タイプ]]=$V$2,ゲージわざ表[[#This Row],[タイプ]]=$W$2),"↑","")</f>
        <v/>
      </c>
      <c r="O121" s="116">
        <f>IF(OR(ゲージわざ表[[#This Row],[タイプ]]=$V$2,ゲージわざ表[[#This Row],[タイプ]]=$W$2),ゲージわざ表[[#This Row],[威力_g]]*タイプ一致係数,ゲージわざ表[[#This Row],[威力_g]])</f>
        <v>40</v>
      </c>
      <c r="P121" s="89">
        <f>IF(OR(ゲージわざ表[[#This Row],[タイプ]]=$V$2,ゲージわざ表[[#This Row],[タイプ]]=$W$2),ゲージわざ表[[#This Row],[DPS]]*タイプ一致係数,ゲージわざ表[[#This Row],[DPS]])</f>
        <v>25</v>
      </c>
      <c r="Q121" s="116">
        <f>IF(OR(ゲージわざ表[[#This Row],[タイプ]]=$V$2,ゲージわざ表[[#This Row],[タイプ]]=$W$2),ゲージわざ表[[#This Row],[威力_m]]*タイプ一致係数,ゲージわざ表[[#This Row],[威力_m]])</f>
        <v>40</v>
      </c>
      <c r="R121" s="91">
        <f>IF(OR(ゲージわざ表[[#This Row],[タイプ]]=$V$2,ゲージわざ表[[#This Row],[タイプ]]=$W$2),ゲージわざ表[[#This Row],[DPE]]*タイプ一致係数,ゲージわざ表[[#This Row],[DPE]])</f>
        <v>1.1428571428570999</v>
      </c>
    </row>
    <row r="122" spans="1:18" ht="16.5" customHeight="1" x14ac:dyDescent="0.45">
      <c r="A122" s="129" t="s">
        <v>13</v>
      </c>
      <c r="B122" s="129" t="s">
        <v>22</v>
      </c>
      <c r="C122" s="468">
        <v>55</v>
      </c>
      <c r="D122" s="91">
        <v>2.2000000000000002</v>
      </c>
      <c r="E122" s="89">
        <v>25</v>
      </c>
      <c r="F122" s="116">
        <v>3</v>
      </c>
      <c r="G122" s="91">
        <v>1.5</v>
      </c>
      <c r="H122" s="468">
        <v>55</v>
      </c>
      <c r="I122" s="116">
        <v>40</v>
      </c>
      <c r="J122" s="91">
        <v>1.375</v>
      </c>
      <c r="N122" s="473" t="str">
        <f>IF(OR(ゲージわざ表[[#This Row],[タイプ]]=$V$2,ゲージわざ表[[#This Row],[タイプ]]=$W$2),"↑","")</f>
        <v/>
      </c>
      <c r="O122" s="116">
        <f>IF(OR(ゲージわざ表[[#This Row],[タイプ]]=$V$2,ゲージわざ表[[#This Row],[タイプ]]=$W$2),ゲージわざ表[[#This Row],[威力_g]]*タイプ一致係数,ゲージわざ表[[#This Row],[威力_g]])</f>
        <v>55</v>
      </c>
      <c r="P122" s="89">
        <f>IF(OR(ゲージわざ表[[#This Row],[タイプ]]=$V$2,ゲージわざ表[[#This Row],[タイプ]]=$W$2),ゲージわざ表[[#This Row],[DPS]]*タイプ一致係数,ゲージわざ表[[#This Row],[DPS]])</f>
        <v>25</v>
      </c>
      <c r="Q122" s="116">
        <f>IF(OR(ゲージわざ表[[#This Row],[タイプ]]=$V$2,ゲージわざ表[[#This Row],[タイプ]]=$W$2),ゲージわざ表[[#This Row],[威力_m]]*タイプ一致係数,ゲージわざ表[[#This Row],[威力_m]])</f>
        <v>55</v>
      </c>
      <c r="R122" s="91">
        <f>IF(OR(ゲージわざ表[[#This Row],[タイプ]]=$V$2,ゲージわざ表[[#This Row],[タイプ]]=$W$2),ゲージわざ表[[#This Row],[DPE]]*タイプ一致係数,ゲージわざ表[[#This Row],[DPE]])</f>
        <v>1.375</v>
      </c>
    </row>
    <row r="123" spans="1:18" ht="16.5" customHeight="1" x14ac:dyDescent="0.45">
      <c r="A123" s="117" t="s">
        <v>1495</v>
      </c>
      <c r="B123" s="117" t="s">
        <v>68</v>
      </c>
      <c r="C123" s="468">
        <v>60</v>
      </c>
      <c r="D123" s="91">
        <v>2.9</v>
      </c>
      <c r="E123" s="89">
        <v>20.689655172414</v>
      </c>
      <c r="F123" s="116">
        <v>3</v>
      </c>
      <c r="G123" s="91">
        <v>2.0499999999999998</v>
      </c>
      <c r="H123" s="468">
        <v>60</v>
      </c>
      <c r="I123" s="116">
        <v>45</v>
      </c>
      <c r="J123" s="91">
        <v>1.3333333333333</v>
      </c>
      <c r="N123" s="473" t="str">
        <f>IF(OR(ゲージわざ表[[#This Row],[タイプ]]=$V$2,ゲージわざ表[[#This Row],[タイプ]]=$W$2),"↑","")</f>
        <v/>
      </c>
      <c r="O123" s="116">
        <f>IF(OR(ゲージわざ表[[#This Row],[タイプ]]=$V$2,ゲージわざ表[[#This Row],[タイプ]]=$W$2),ゲージわざ表[[#This Row],[威力_g]]*タイプ一致係数,ゲージわざ表[[#This Row],[威力_g]])</f>
        <v>60</v>
      </c>
      <c r="P123" s="89">
        <f>IF(OR(ゲージわざ表[[#This Row],[タイプ]]=$V$2,ゲージわざ表[[#This Row],[タイプ]]=$W$2),ゲージわざ表[[#This Row],[DPS]]*タイプ一致係数,ゲージわざ表[[#This Row],[DPS]])</f>
        <v>20.689655172414</v>
      </c>
      <c r="Q123" s="116">
        <f>IF(OR(ゲージわざ表[[#This Row],[タイプ]]=$V$2,ゲージわざ表[[#This Row],[タイプ]]=$W$2),ゲージわざ表[[#This Row],[威力_m]]*タイプ一致係数,ゲージわざ表[[#This Row],[威力_m]])</f>
        <v>60</v>
      </c>
      <c r="R123" s="91">
        <f>IF(OR(ゲージわざ表[[#This Row],[タイプ]]=$V$2,ゲージわざ表[[#This Row],[タイプ]]=$W$2),ゲージわざ表[[#This Row],[DPE]]*タイプ一致係数,ゲージわざ表[[#This Row],[DPE]])</f>
        <v>1.3333333333333</v>
      </c>
    </row>
    <row r="124" spans="1:18" ht="16.5" customHeight="1" x14ac:dyDescent="0.45">
      <c r="A124" s="124" t="s">
        <v>208</v>
      </c>
      <c r="B124" s="124" t="s">
        <v>4</v>
      </c>
      <c r="C124" s="468">
        <v>70</v>
      </c>
      <c r="D124" s="91">
        <v>2.8</v>
      </c>
      <c r="E124" s="89">
        <v>25</v>
      </c>
      <c r="F124" s="116">
        <v>3</v>
      </c>
      <c r="G124" s="91">
        <v>2.2000000000000002</v>
      </c>
      <c r="H124" s="468">
        <v>70</v>
      </c>
      <c r="I124" s="116">
        <v>45</v>
      </c>
      <c r="J124" s="91">
        <v>1.5555555555556</v>
      </c>
      <c r="N124" s="473" t="str">
        <f>IF(OR(ゲージわざ表[[#This Row],[タイプ]]=$V$2,ゲージわざ表[[#This Row],[タイプ]]=$W$2),"↑","")</f>
        <v/>
      </c>
      <c r="O124" s="116">
        <f>IF(OR(ゲージわざ表[[#This Row],[タイプ]]=$V$2,ゲージわざ表[[#This Row],[タイプ]]=$W$2),ゲージわざ表[[#This Row],[威力_g]]*タイプ一致係数,ゲージわざ表[[#This Row],[威力_g]])</f>
        <v>70</v>
      </c>
      <c r="P124" s="89">
        <f>IF(OR(ゲージわざ表[[#This Row],[タイプ]]=$V$2,ゲージわざ表[[#This Row],[タイプ]]=$W$2),ゲージわざ表[[#This Row],[DPS]]*タイプ一致係数,ゲージわざ表[[#This Row],[DPS]])</f>
        <v>25</v>
      </c>
      <c r="Q124" s="116">
        <f>IF(OR(ゲージわざ表[[#This Row],[タイプ]]=$V$2,ゲージわざ表[[#This Row],[タイプ]]=$W$2),ゲージわざ表[[#This Row],[威力_m]]*タイプ一致係数,ゲージわざ表[[#This Row],[威力_m]])</f>
        <v>70</v>
      </c>
      <c r="R124" s="91">
        <f>IF(OR(ゲージわざ表[[#This Row],[タイプ]]=$V$2,ゲージわざ表[[#This Row],[タイプ]]=$W$2),ゲージわざ表[[#This Row],[DPE]]*タイプ一致係数,ゲージわざ表[[#This Row],[DPE]])</f>
        <v>1.5555555555556</v>
      </c>
    </row>
    <row r="125" spans="1:18" ht="16.5" customHeight="1" x14ac:dyDescent="0.45">
      <c r="A125" s="126" t="s">
        <v>63</v>
      </c>
      <c r="B125" s="126" t="s">
        <v>61</v>
      </c>
      <c r="C125" s="468">
        <v>100</v>
      </c>
      <c r="D125" s="91">
        <v>3.5</v>
      </c>
      <c r="E125" s="89">
        <v>28.571428571428999</v>
      </c>
      <c r="F125" s="116">
        <v>2</v>
      </c>
      <c r="G125" s="91">
        <v>2.1</v>
      </c>
      <c r="H125" s="468">
        <v>110</v>
      </c>
      <c r="I125" s="116">
        <v>70</v>
      </c>
      <c r="J125" s="91">
        <v>1.5714285714286</v>
      </c>
      <c r="N125" s="473" t="str">
        <f>IF(OR(ゲージわざ表[[#This Row],[タイプ]]=$V$2,ゲージわざ表[[#This Row],[タイプ]]=$W$2),"↑","")</f>
        <v/>
      </c>
      <c r="O125" s="116">
        <f>IF(OR(ゲージわざ表[[#This Row],[タイプ]]=$V$2,ゲージわざ表[[#This Row],[タイプ]]=$W$2),ゲージわざ表[[#This Row],[威力_g]]*タイプ一致係数,ゲージわざ表[[#This Row],[威力_g]])</f>
        <v>100</v>
      </c>
      <c r="P125" s="89">
        <f>IF(OR(ゲージわざ表[[#This Row],[タイプ]]=$V$2,ゲージわざ表[[#This Row],[タイプ]]=$W$2),ゲージわざ表[[#This Row],[DPS]]*タイプ一致係数,ゲージわざ表[[#This Row],[DPS]])</f>
        <v>28.571428571428999</v>
      </c>
      <c r="Q125" s="116">
        <f>IF(OR(ゲージわざ表[[#This Row],[タイプ]]=$V$2,ゲージわざ表[[#This Row],[タイプ]]=$W$2),ゲージわざ表[[#This Row],[威力_m]]*タイプ一致係数,ゲージわざ表[[#This Row],[威力_m]])</f>
        <v>110</v>
      </c>
      <c r="R125" s="91">
        <f>IF(OR(ゲージわざ表[[#This Row],[タイプ]]=$V$2,ゲージわざ表[[#This Row],[タイプ]]=$W$2),ゲージわざ表[[#This Row],[DPE]]*タイプ一致係数,ゲージわざ表[[#This Row],[DPE]])</f>
        <v>1.5714285714286</v>
      </c>
    </row>
    <row r="126" spans="1:18" ht="16.5" customHeight="1" x14ac:dyDescent="0.45">
      <c r="A126" s="128" t="s">
        <v>238</v>
      </c>
      <c r="B126" s="128" t="s">
        <v>111</v>
      </c>
      <c r="C126" s="468">
        <v>70</v>
      </c>
      <c r="D126" s="91">
        <v>3.2</v>
      </c>
      <c r="E126" s="89">
        <v>21.875</v>
      </c>
      <c r="F126" s="116">
        <v>2</v>
      </c>
      <c r="G126" s="91">
        <v>2.2000000000000002</v>
      </c>
      <c r="H126" s="468">
        <v>70</v>
      </c>
      <c r="I126" s="116">
        <v>60</v>
      </c>
      <c r="J126" s="91">
        <v>1.1666666666667</v>
      </c>
      <c r="N126" s="473" t="str">
        <f>IF(OR(ゲージわざ表[[#This Row],[タイプ]]=$V$2,ゲージわざ表[[#This Row],[タイプ]]=$W$2),"↑","")</f>
        <v/>
      </c>
      <c r="O126" s="116">
        <f>IF(OR(ゲージわざ表[[#This Row],[タイプ]]=$V$2,ゲージわざ表[[#This Row],[タイプ]]=$W$2),ゲージわざ表[[#This Row],[威力_g]]*タイプ一致係数,ゲージわざ表[[#This Row],[威力_g]])</f>
        <v>70</v>
      </c>
      <c r="P126" s="89">
        <f>IF(OR(ゲージわざ表[[#This Row],[タイプ]]=$V$2,ゲージわざ表[[#This Row],[タイプ]]=$W$2),ゲージわざ表[[#This Row],[DPS]]*タイプ一致係数,ゲージわざ表[[#This Row],[DPS]])</f>
        <v>21.875</v>
      </c>
      <c r="Q126" s="116">
        <f>IF(OR(ゲージわざ表[[#This Row],[タイプ]]=$V$2,ゲージわざ表[[#This Row],[タイプ]]=$W$2),ゲージわざ表[[#This Row],[威力_m]]*タイプ一致係数,ゲージわざ表[[#This Row],[威力_m]])</f>
        <v>70</v>
      </c>
      <c r="R126" s="91">
        <f>IF(OR(ゲージわざ表[[#This Row],[タイプ]]=$V$2,ゲージわざ表[[#This Row],[タイプ]]=$W$2),ゲージわざ表[[#This Row],[DPE]]*タイプ一致係数,ゲージわざ表[[#This Row],[DPE]])</f>
        <v>1.1666666666667</v>
      </c>
    </row>
    <row r="127" spans="1:18" ht="16.5" customHeight="1" x14ac:dyDescent="0.45">
      <c r="A127" s="127" t="s">
        <v>778</v>
      </c>
      <c r="B127" s="127" t="s">
        <v>18</v>
      </c>
      <c r="C127" s="468">
        <v>60</v>
      </c>
      <c r="D127" s="91">
        <v>2.6</v>
      </c>
      <c r="E127" s="89">
        <v>23.076923076922998</v>
      </c>
      <c r="F127" s="116">
        <v>2</v>
      </c>
      <c r="G127" s="91">
        <v>2.2999999999999998</v>
      </c>
      <c r="H127" s="468">
        <v>60</v>
      </c>
      <c r="I127" s="116">
        <v>55</v>
      </c>
      <c r="J127" s="91">
        <v>1.0909090909090999</v>
      </c>
      <c r="N127" s="473" t="str">
        <f>IF(OR(ゲージわざ表[[#This Row],[タイプ]]=$V$2,ゲージわざ表[[#This Row],[タイプ]]=$W$2),"↑","")</f>
        <v/>
      </c>
      <c r="O127" s="116">
        <f>IF(OR(ゲージわざ表[[#This Row],[タイプ]]=$V$2,ゲージわざ表[[#This Row],[タイプ]]=$W$2),ゲージわざ表[[#This Row],[威力_g]]*タイプ一致係数,ゲージわざ表[[#This Row],[威力_g]])</f>
        <v>60</v>
      </c>
      <c r="P127" s="89">
        <f>IF(OR(ゲージわざ表[[#This Row],[タイプ]]=$V$2,ゲージわざ表[[#This Row],[タイプ]]=$W$2),ゲージわざ表[[#This Row],[DPS]]*タイプ一致係数,ゲージわざ表[[#This Row],[DPS]])</f>
        <v>23.076923076922998</v>
      </c>
      <c r="Q127" s="116">
        <f>IF(OR(ゲージわざ表[[#This Row],[タイプ]]=$V$2,ゲージわざ表[[#This Row],[タイプ]]=$W$2),ゲージわざ表[[#This Row],[威力_m]]*タイプ一致係数,ゲージわざ表[[#This Row],[威力_m]])</f>
        <v>60</v>
      </c>
      <c r="R127" s="91">
        <f>IF(OR(ゲージわざ表[[#This Row],[タイプ]]=$V$2,ゲージわざ表[[#This Row],[タイプ]]=$W$2),ゲージわざ表[[#This Row],[DPE]]*タイプ一致係数,ゲージわざ表[[#This Row],[DPE]])</f>
        <v>1.0909090909090999</v>
      </c>
    </row>
    <row r="128" spans="1:18" ht="16.5" customHeight="1" x14ac:dyDescent="0.45">
      <c r="A128" s="124" t="s">
        <v>1780</v>
      </c>
      <c r="B128" s="124" t="s">
        <v>4</v>
      </c>
      <c r="C128" s="468">
        <v>50</v>
      </c>
      <c r="D128" s="91">
        <v>2.4</v>
      </c>
      <c r="E128" s="89">
        <v>20.833333333333002</v>
      </c>
      <c r="F128" s="116">
        <v>3</v>
      </c>
      <c r="G128" s="91">
        <v>1.8</v>
      </c>
      <c r="H128" s="468">
        <v>35</v>
      </c>
      <c r="I128" s="116">
        <v>35</v>
      </c>
      <c r="J128" s="91">
        <v>1</v>
      </c>
      <c r="K128" s="90" t="s">
        <v>1769</v>
      </c>
      <c r="L128" s="90">
        <v>1</v>
      </c>
      <c r="M128" s="90">
        <v>0.3</v>
      </c>
      <c r="N128" s="473" t="str">
        <f>IF(OR(ゲージわざ表[[#This Row],[タイプ]]=$V$2,ゲージわざ表[[#This Row],[タイプ]]=$W$2),"↑","")</f>
        <v/>
      </c>
      <c r="O128" s="116">
        <f>IF(OR(ゲージわざ表[[#This Row],[タイプ]]=$V$2,ゲージわざ表[[#This Row],[タイプ]]=$W$2),ゲージわざ表[[#This Row],[威力_g]]*タイプ一致係数,ゲージわざ表[[#This Row],[威力_g]])</f>
        <v>50</v>
      </c>
      <c r="P128" s="89">
        <f>IF(OR(ゲージわざ表[[#This Row],[タイプ]]=$V$2,ゲージわざ表[[#This Row],[タイプ]]=$W$2),ゲージわざ表[[#This Row],[DPS]]*タイプ一致係数,ゲージわざ表[[#This Row],[DPS]])</f>
        <v>20.833333333333002</v>
      </c>
      <c r="Q128" s="116">
        <f>IF(OR(ゲージわざ表[[#This Row],[タイプ]]=$V$2,ゲージわざ表[[#This Row],[タイプ]]=$W$2),ゲージわざ表[[#This Row],[威力_m]]*タイプ一致係数,ゲージわざ表[[#This Row],[威力_m]])</f>
        <v>35</v>
      </c>
      <c r="R128" s="91">
        <f>IF(OR(ゲージわざ表[[#This Row],[タイプ]]=$V$2,ゲージわざ表[[#This Row],[タイプ]]=$W$2),ゲージわざ表[[#This Row],[DPE]]*タイプ一致係数,ゲージわざ表[[#This Row],[DPE]])</f>
        <v>1</v>
      </c>
    </row>
    <row r="129" spans="1:18" ht="16.5" customHeight="1" x14ac:dyDescent="0.45">
      <c r="A129" s="127" t="s">
        <v>295</v>
      </c>
      <c r="B129" s="127" t="s">
        <v>18</v>
      </c>
      <c r="C129" s="468">
        <v>120</v>
      </c>
      <c r="D129" s="91">
        <v>2.7</v>
      </c>
      <c r="E129" s="89">
        <v>44.444444444444002</v>
      </c>
      <c r="F129" s="116">
        <v>1</v>
      </c>
      <c r="G129" s="91">
        <v>1.4</v>
      </c>
      <c r="H129" s="468">
        <v>120</v>
      </c>
      <c r="I129" s="116">
        <v>65</v>
      </c>
      <c r="J129" s="91">
        <v>1.8461538461538001</v>
      </c>
      <c r="N129" s="473" t="str">
        <f>IF(OR(ゲージわざ表[[#This Row],[タイプ]]=$V$2,ゲージわざ表[[#This Row],[タイプ]]=$W$2),"↑","")</f>
        <v/>
      </c>
      <c r="O129" s="116">
        <f>IF(OR(ゲージわざ表[[#This Row],[タイプ]]=$V$2,ゲージわざ表[[#This Row],[タイプ]]=$W$2),ゲージわざ表[[#This Row],[威力_g]]*タイプ一致係数,ゲージわざ表[[#This Row],[威力_g]])</f>
        <v>120</v>
      </c>
      <c r="P129" s="89">
        <f>IF(OR(ゲージわざ表[[#This Row],[タイプ]]=$V$2,ゲージわざ表[[#This Row],[タイプ]]=$W$2),ゲージわざ表[[#This Row],[DPS]]*タイプ一致係数,ゲージわざ表[[#This Row],[DPS]])</f>
        <v>44.444444444444002</v>
      </c>
      <c r="Q129" s="116">
        <f>IF(OR(ゲージわざ表[[#This Row],[タイプ]]=$V$2,ゲージわざ表[[#This Row],[タイプ]]=$W$2),ゲージわざ表[[#This Row],[威力_m]]*タイプ一致係数,ゲージわざ表[[#This Row],[威力_m]])</f>
        <v>120</v>
      </c>
      <c r="R129" s="91">
        <f>IF(OR(ゲージわざ表[[#This Row],[タイプ]]=$V$2,ゲージわざ表[[#This Row],[タイプ]]=$W$2),ゲージわざ表[[#This Row],[DPE]]*タイプ一致係数,ゲージわざ表[[#This Row],[DPE]])</f>
        <v>1.8461538461538001</v>
      </c>
    </row>
    <row r="130" spans="1:18" ht="16.5" customHeight="1" x14ac:dyDescent="0.45">
      <c r="A130" s="126" t="s">
        <v>1496</v>
      </c>
      <c r="B130" s="126" t="s">
        <v>61</v>
      </c>
      <c r="C130" s="468">
        <v>130</v>
      </c>
      <c r="D130" s="91">
        <v>3.9</v>
      </c>
      <c r="E130" s="89">
        <v>33.333333333333002</v>
      </c>
      <c r="F130" s="116">
        <v>1</v>
      </c>
      <c r="G130" s="91">
        <v>2.2000000000000002</v>
      </c>
      <c r="H130" s="468">
        <v>130</v>
      </c>
      <c r="I130" s="116">
        <v>70</v>
      </c>
      <c r="J130" s="91">
        <v>1.8571428571429001</v>
      </c>
      <c r="N130" s="473" t="str">
        <f>IF(OR(ゲージわざ表[[#This Row],[タイプ]]=$V$2,ゲージわざ表[[#This Row],[タイプ]]=$W$2),"↑","")</f>
        <v/>
      </c>
      <c r="O130" s="116">
        <f>IF(OR(ゲージわざ表[[#This Row],[タイプ]]=$V$2,ゲージわざ表[[#This Row],[タイプ]]=$W$2),ゲージわざ表[[#This Row],[威力_g]]*タイプ一致係数,ゲージわざ表[[#This Row],[威力_g]])</f>
        <v>130</v>
      </c>
      <c r="P130" s="89">
        <f>IF(OR(ゲージわざ表[[#This Row],[タイプ]]=$V$2,ゲージわざ表[[#This Row],[タイプ]]=$W$2),ゲージわざ表[[#This Row],[DPS]]*タイプ一致係数,ゲージわざ表[[#This Row],[DPS]])</f>
        <v>33.333333333333002</v>
      </c>
      <c r="Q130" s="116">
        <f>IF(OR(ゲージわざ表[[#This Row],[タイプ]]=$V$2,ゲージわざ表[[#This Row],[タイプ]]=$W$2),ゲージわざ表[[#This Row],[威力_m]]*タイプ一致係数,ゲージわざ表[[#This Row],[威力_m]])</f>
        <v>130</v>
      </c>
      <c r="R130" s="91">
        <f>IF(OR(ゲージわざ表[[#This Row],[タイプ]]=$V$2,ゲージわざ表[[#This Row],[タイプ]]=$W$2),ゲージわざ表[[#This Row],[DPE]]*タイプ一致係数,ゲージわざ表[[#This Row],[DPE]])</f>
        <v>1.8571428571429001</v>
      </c>
    </row>
    <row r="131" spans="1:18" x14ac:dyDescent="0.45">
      <c r="A131" s="125" t="s">
        <v>126</v>
      </c>
      <c r="B131" s="125" t="s">
        <v>29</v>
      </c>
      <c r="C131" s="468">
        <v>90</v>
      </c>
      <c r="D131" s="91">
        <v>3.7</v>
      </c>
      <c r="E131" s="89">
        <v>24.324324324323999</v>
      </c>
      <c r="F131" s="116">
        <v>2</v>
      </c>
      <c r="G131" s="91">
        <v>2</v>
      </c>
      <c r="H131" s="468">
        <v>90</v>
      </c>
      <c r="I131" s="116">
        <v>60</v>
      </c>
      <c r="J131" s="91">
        <v>1.5</v>
      </c>
      <c r="N131" s="473" t="str">
        <f>IF(OR(ゲージわざ表[[#This Row],[タイプ]]=$V$2,ゲージわざ表[[#This Row],[タイプ]]=$W$2),"↑","")</f>
        <v/>
      </c>
      <c r="O131" s="116">
        <f>IF(OR(ゲージわざ表[[#This Row],[タイプ]]=$V$2,ゲージわざ表[[#This Row],[タイプ]]=$W$2),ゲージわざ表[[#This Row],[威力_g]]*タイプ一致係数,ゲージわざ表[[#This Row],[威力_g]])</f>
        <v>90</v>
      </c>
      <c r="P131" s="89">
        <f>IF(OR(ゲージわざ表[[#This Row],[タイプ]]=$V$2,ゲージわざ表[[#This Row],[タイプ]]=$W$2),ゲージわざ表[[#This Row],[DPS]]*タイプ一致係数,ゲージわざ表[[#This Row],[DPS]])</f>
        <v>24.324324324323999</v>
      </c>
      <c r="Q131" s="116">
        <f>IF(OR(ゲージわざ表[[#This Row],[タイプ]]=$V$2,ゲージわざ表[[#This Row],[タイプ]]=$W$2),ゲージわざ表[[#This Row],[威力_m]]*タイプ一致係数,ゲージわざ表[[#This Row],[威力_m]])</f>
        <v>90</v>
      </c>
      <c r="R131" s="91">
        <f>IF(OR(ゲージわざ表[[#This Row],[タイプ]]=$V$2,ゲージわざ表[[#This Row],[タイプ]]=$W$2),ゲージわざ表[[#This Row],[DPE]]*タイプ一致係数,ゲージわざ表[[#This Row],[DPE]])</f>
        <v>1.5</v>
      </c>
    </row>
    <row r="132" spans="1:18" ht="16.5" customHeight="1" x14ac:dyDescent="0.45">
      <c r="A132" s="125" t="s">
        <v>97</v>
      </c>
      <c r="B132" s="125" t="s">
        <v>29</v>
      </c>
      <c r="C132" s="468">
        <v>110</v>
      </c>
      <c r="D132" s="91">
        <v>2.2000000000000002</v>
      </c>
      <c r="E132" s="89">
        <v>50</v>
      </c>
      <c r="F132" s="116">
        <v>1</v>
      </c>
      <c r="G132" s="91">
        <v>1.7</v>
      </c>
      <c r="H132" s="468">
        <v>100</v>
      </c>
      <c r="I132" s="116">
        <v>55</v>
      </c>
      <c r="J132" s="91">
        <v>1.8181818181817999</v>
      </c>
      <c r="N132" s="473" t="str">
        <f>IF(OR(ゲージわざ表[[#This Row],[タイプ]]=$V$2,ゲージわざ表[[#This Row],[タイプ]]=$W$2),"↑","")</f>
        <v/>
      </c>
      <c r="O132" s="116">
        <f>IF(OR(ゲージわざ表[[#This Row],[タイプ]]=$V$2,ゲージわざ表[[#This Row],[タイプ]]=$W$2),ゲージわざ表[[#This Row],[威力_g]]*タイプ一致係数,ゲージわざ表[[#This Row],[威力_g]])</f>
        <v>110</v>
      </c>
      <c r="P132" s="89">
        <f>IF(OR(ゲージわざ表[[#This Row],[タイプ]]=$V$2,ゲージわざ表[[#This Row],[タイプ]]=$W$2),ゲージわざ表[[#This Row],[DPS]]*タイプ一致係数,ゲージわざ表[[#This Row],[DPS]])</f>
        <v>50</v>
      </c>
      <c r="Q132" s="116">
        <f>IF(OR(ゲージわざ表[[#This Row],[タイプ]]=$V$2,ゲージわざ表[[#This Row],[タイプ]]=$W$2),ゲージわざ表[[#This Row],[威力_m]]*タイプ一致係数,ゲージわざ表[[#This Row],[威力_m]])</f>
        <v>100</v>
      </c>
      <c r="R132" s="91">
        <f>IF(OR(ゲージわざ表[[#This Row],[タイプ]]=$V$2,ゲージわざ表[[#This Row],[タイプ]]=$W$2),ゲージわざ表[[#This Row],[DPE]]*タイプ一致係数,ゲージわざ表[[#This Row],[DPE]])</f>
        <v>1.8181818181817999</v>
      </c>
    </row>
    <row r="133" spans="1:18" ht="16.5" customHeight="1" x14ac:dyDescent="0.45">
      <c r="A133" s="117" t="s">
        <v>1535</v>
      </c>
      <c r="B133" s="117" t="s">
        <v>68</v>
      </c>
      <c r="C133" s="468">
        <v>10</v>
      </c>
      <c r="D133" s="91">
        <v>2</v>
      </c>
      <c r="E133" s="89">
        <v>5</v>
      </c>
      <c r="F133" s="116">
        <v>3</v>
      </c>
      <c r="G133" s="91">
        <v>1</v>
      </c>
      <c r="H133" s="468">
        <v>10</v>
      </c>
      <c r="I133" s="116">
        <v>70</v>
      </c>
      <c r="J133" s="91">
        <v>0.14285714285713999</v>
      </c>
      <c r="N133" s="473" t="str">
        <f>IF(OR(ゲージわざ表[[#This Row],[タイプ]]=$V$2,ゲージわざ表[[#This Row],[タイプ]]=$W$2),"↑","")</f>
        <v/>
      </c>
      <c r="O133" s="116">
        <f>IF(OR(ゲージわざ表[[#This Row],[タイプ]]=$V$2,ゲージわざ表[[#This Row],[タイプ]]=$W$2),ゲージわざ表[[#This Row],[威力_g]]*タイプ一致係数,ゲージわざ表[[#This Row],[威力_g]])</f>
        <v>10</v>
      </c>
      <c r="P133" s="89">
        <f>IF(OR(ゲージわざ表[[#This Row],[タイプ]]=$V$2,ゲージわざ表[[#This Row],[タイプ]]=$W$2),ゲージわざ表[[#This Row],[DPS]]*タイプ一致係数,ゲージわざ表[[#This Row],[DPS]])</f>
        <v>5</v>
      </c>
      <c r="Q133" s="116">
        <f>IF(OR(ゲージわざ表[[#This Row],[タイプ]]=$V$2,ゲージわざ表[[#This Row],[タイプ]]=$W$2),ゲージわざ表[[#This Row],[威力_m]]*タイプ一致係数,ゲージわざ表[[#This Row],[威力_m]])</f>
        <v>10</v>
      </c>
      <c r="R133" s="91">
        <f>IF(OR(ゲージわざ表[[#This Row],[タイプ]]=$V$2,ゲージわざ表[[#This Row],[タイプ]]=$W$2),ゲージわざ表[[#This Row],[DPE]]*タイプ一致係数,ゲージわざ表[[#This Row],[DPE]])</f>
        <v>0.14285714285713999</v>
      </c>
    </row>
    <row r="134" spans="1:18" ht="16.5" customHeight="1" x14ac:dyDescent="0.45">
      <c r="A134" s="121" t="s">
        <v>307</v>
      </c>
      <c r="B134" s="121" t="s">
        <v>62</v>
      </c>
      <c r="C134" s="468">
        <v>90</v>
      </c>
      <c r="D134" s="91">
        <v>2.7</v>
      </c>
      <c r="E134" s="89">
        <v>33.333333333333002</v>
      </c>
      <c r="F134" s="116">
        <v>2</v>
      </c>
      <c r="G134" s="91">
        <v>1.7</v>
      </c>
      <c r="H134" s="468">
        <v>90</v>
      </c>
      <c r="I134" s="116">
        <v>45</v>
      </c>
      <c r="J134" s="91">
        <v>2</v>
      </c>
      <c r="N134" s="473" t="str">
        <f>IF(OR(ゲージわざ表[[#This Row],[タイプ]]=$V$2,ゲージわざ表[[#This Row],[タイプ]]=$W$2),"↑","")</f>
        <v/>
      </c>
      <c r="O134" s="116">
        <f>IF(OR(ゲージわざ表[[#This Row],[タイプ]]=$V$2,ゲージわざ表[[#This Row],[タイプ]]=$W$2),ゲージわざ表[[#This Row],[威力_g]]*タイプ一致係数,ゲージわざ表[[#This Row],[威力_g]])</f>
        <v>90</v>
      </c>
      <c r="P134" s="89">
        <f>IF(OR(ゲージわざ表[[#This Row],[タイプ]]=$V$2,ゲージわざ表[[#This Row],[タイプ]]=$W$2),ゲージわざ表[[#This Row],[DPS]]*タイプ一致係数,ゲージわざ表[[#This Row],[DPS]])</f>
        <v>33.333333333333002</v>
      </c>
      <c r="Q134" s="116">
        <f>IF(OR(ゲージわざ表[[#This Row],[タイプ]]=$V$2,ゲージわざ表[[#This Row],[タイプ]]=$W$2),ゲージわざ表[[#This Row],[威力_m]]*タイプ一致係数,ゲージわざ表[[#This Row],[威力_m]])</f>
        <v>90</v>
      </c>
      <c r="R134" s="91">
        <f>IF(OR(ゲージわざ表[[#This Row],[タイプ]]=$V$2,ゲージわざ表[[#This Row],[タイプ]]=$W$2),ゲージわざ表[[#This Row],[DPE]]*タイプ一致係数,ゲージわざ表[[#This Row],[DPE]])</f>
        <v>2</v>
      </c>
    </row>
    <row r="135" spans="1:18" ht="16.5" customHeight="1" x14ac:dyDescent="0.45">
      <c r="A135" s="124" t="s">
        <v>180</v>
      </c>
      <c r="B135" s="124" t="s">
        <v>4</v>
      </c>
      <c r="C135" s="468">
        <v>100</v>
      </c>
      <c r="D135" s="91">
        <v>2.7</v>
      </c>
      <c r="E135" s="89">
        <v>37.037037037037003</v>
      </c>
      <c r="F135" s="116">
        <v>1</v>
      </c>
      <c r="G135" s="91">
        <v>1.6</v>
      </c>
      <c r="H135" s="468">
        <v>110</v>
      </c>
      <c r="I135" s="116">
        <v>65</v>
      </c>
      <c r="J135" s="91">
        <v>1.6923076923077001</v>
      </c>
      <c r="N135" s="473" t="str">
        <f>IF(OR(ゲージわざ表[[#This Row],[タイプ]]=$V$2,ゲージわざ表[[#This Row],[タイプ]]=$W$2),"↑","")</f>
        <v/>
      </c>
      <c r="O135" s="116">
        <f>IF(OR(ゲージわざ表[[#This Row],[タイプ]]=$V$2,ゲージわざ表[[#This Row],[タイプ]]=$W$2),ゲージわざ表[[#This Row],[威力_g]]*タイプ一致係数,ゲージわざ表[[#This Row],[威力_g]])</f>
        <v>100</v>
      </c>
      <c r="P135" s="89">
        <f>IF(OR(ゲージわざ表[[#This Row],[タイプ]]=$V$2,ゲージわざ表[[#This Row],[タイプ]]=$W$2),ゲージわざ表[[#This Row],[DPS]]*タイプ一致係数,ゲージわざ表[[#This Row],[DPS]])</f>
        <v>37.037037037037003</v>
      </c>
      <c r="Q135" s="116">
        <f>IF(OR(ゲージわざ表[[#This Row],[タイプ]]=$V$2,ゲージわざ表[[#This Row],[タイプ]]=$W$2),ゲージわざ表[[#This Row],[威力_m]]*タイプ一致係数,ゲージわざ表[[#This Row],[威力_m]])</f>
        <v>110</v>
      </c>
      <c r="R135" s="91">
        <f>IF(OR(ゲージわざ表[[#This Row],[タイプ]]=$V$2,ゲージわざ表[[#This Row],[タイプ]]=$W$2),ゲージわざ表[[#This Row],[DPE]]*タイプ一致係数,ゲージわざ表[[#This Row],[DPE]])</f>
        <v>1.6923076923077001</v>
      </c>
    </row>
    <row r="136" spans="1:18" x14ac:dyDescent="0.45">
      <c r="A136" s="123" t="s">
        <v>169</v>
      </c>
      <c r="B136" s="123" t="s">
        <v>12</v>
      </c>
      <c r="C136" s="468">
        <v>70</v>
      </c>
      <c r="D136" s="91">
        <v>2.4</v>
      </c>
      <c r="E136" s="89">
        <v>29.166666666666998</v>
      </c>
      <c r="F136" s="116">
        <v>3</v>
      </c>
      <c r="G136" s="91">
        <v>1.25</v>
      </c>
      <c r="H136" s="468">
        <v>70</v>
      </c>
      <c r="I136" s="116">
        <v>35</v>
      </c>
      <c r="J136" s="91">
        <v>2</v>
      </c>
      <c r="N136" s="473" t="str">
        <f>IF(OR(ゲージわざ表[[#This Row],[タイプ]]=$V$2,ゲージわざ表[[#This Row],[タイプ]]=$W$2),"↑","")</f>
        <v/>
      </c>
      <c r="O136" s="90">
        <f>IF(OR(ゲージわざ表[[#This Row],[タイプ]]=$V$2,ゲージわざ表[[#This Row],[タイプ]]=$W$2),ゲージわざ表[[#This Row],[威力_g]]*タイプ一致係数,ゲージわざ表[[#This Row],[威力_g]])</f>
        <v>70</v>
      </c>
      <c r="P136" s="89">
        <f>IF(OR(ゲージわざ表[[#This Row],[タイプ]]=$V$2,ゲージわざ表[[#This Row],[タイプ]]=$W$2),ゲージわざ表[[#This Row],[DPS]]*タイプ一致係数,ゲージわざ表[[#This Row],[DPS]])</f>
        <v>29.166666666666998</v>
      </c>
      <c r="Q136" s="90">
        <f>IF(OR(ゲージわざ表[[#This Row],[タイプ]]=$V$2,ゲージわざ表[[#This Row],[タイプ]]=$W$2),ゲージわざ表[[#This Row],[威力_m]]*タイプ一致係数,ゲージわざ表[[#This Row],[威力_m]])</f>
        <v>70</v>
      </c>
      <c r="R136" s="91">
        <f>IF(OR(ゲージわざ表[[#This Row],[タイプ]]=$V$2,ゲージわざ表[[#This Row],[タイプ]]=$W$2),ゲージわざ表[[#This Row],[DPE]]*タイプ一致係数,ゲージわざ表[[#This Row],[DPE]])</f>
        <v>2</v>
      </c>
    </row>
    <row r="137" spans="1:18" ht="16.5" customHeight="1" x14ac:dyDescent="0.45">
      <c r="A137" s="122" t="s">
        <v>1503</v>
      </c>
      <c r="B137" s="122" t="s">
        <v>90</v>
      </c>
      <c r="C137" s="468">
        <v>150</v>
      </c>
      <c r="D137" s="91">
        <v>3.6</v>
      </c>
      <c r="E137" s="89">
        <v>41.666666666666998</v>
      </c>
      <c r="F137" s="116">
        <v>1</v>
      </c>
      <c r="G137" s="91">
        <v>3</v>
      </c>
      <c r="H137" s="468">
        <v>150</v>
      </c>
      <c r="I137" s="116">
        <v>65</v>
      </c>
      <c r="J137" s="91">
        <v>2.3076923076922999</v>
      </c>
      <c r="K137" s="90" t="s">
        <v>1776</v>
      </c>
      <c r="L137" s="90">
        <v>2</v>
      </c>
      <c r="M137" s="90">
        <v>1</v>
      </c>
      <c r="N137" s="473" t="str">
        <f>IF(OR(ゲージわざ表[[#This Row],[タイプ]]=$V$2,ゲージわざ表[[#This Row],[タイプ]]=$W$2),"↑","")</f>
        <v/>
      </c>
      <c r="O137" s="116">
        <f>IF(OR(ゲージわざ表[[#This Row],[タイプ]]=$V$2,ゲージわざ表[[#This Row],[タイプ]]=$W$2),ゲージわざ表[[#This Row],[威力_g]]*タイプ一致係数,ゲージわざ表[[#This Row],[威力_g]])</f>
        <v>150</v>
      </c>
      <c r="P137" s="89">
        <f>IF(OR(ゲージわざ表[[#This Row],[タイプ]]=$V$2,ゲージわざ表[[#This Row],[タイプ]]=$W$2),ゲージわざ表[[#This Row],[DPS]]*タイプ一致係数,ゲージわざ表[[#This Row],[DPS]])</f>
        <v>41.666666666666998</v>
      </c>
      <c r="Q137" s="116">
        <f>IF(OR(ゲージわざ表[[#This Row],[タイプ]]=$V$2,ゲージわざ表[[#This Row],[タイプ]]=$W$2),ゲージわざ表[[#This Row],[威力_m]]*タイプ一致係数,ゲージわざ表[[#This Row],[威力_m]])</f>
        <v>150</v>
      </c>
      <c r="R137" s="91">
        <f>IF(OR(ゲージわざ表[[#This Row],[タイプ]]=$V$2,ゲージわざ表[[#This Row],[タイプ]]=$W$2),ゲージわざ表[[#This Row],[DPE]]*タイプ一致係数,ゲージわざ表[[#This Row],[DPE]])</f>
        <v>2.3076923076922999</v>
      </c>
    </row>
    <row r="138" spans="1:18" x14ac:dyDescent="0.45">
      <c r="A138" s="122" t="s">
        <v>253</v>
      </c>
      <c r="B138" s="122" t="s">
        <v>90</v>
      </c>
      <c r="C138" s="468">
        <v>90</v>
      </c>
      <c r="D138" s="91">
        <v>3.6</v>
      </c>
      <c r="E138" s="89">
        <v>25</v>
      </c>
      <c r="F138" s="116">
        <v>2</v>
      </c>
      <c r="G138" s="91">
        <v>2.15</v>
      </c>
      <c r="H138" s="468">
        <v>90</v>
      </c>
      <c r="I138" s="116">
        <v>60</v>
      </c>
      <c r="J138" s="91">
        <v>1.5</v>
      </c>
      <c r="N138" s="473" t="str">
        <f>IF(OR(ゲージわざ表[[#This Row],[タイプ]]=$V$2,ゲージわざ表[[#This Row],[タイプ]]=$W$2),"↑","")</f>
        <v/>
      </c>
      <c r="O138" s="116">
        <f>IF(OR(ゲージわざ表[[#This Row],[タイプ]]=$V$2,ゲージわざ表[[#This Row],[タイプ]]=$W$2),ゲージわざ表[[#This Row],[威力_g]]*タイプ一致係数,ゲージわざ表[[#This Row],[威力_g]])</f>
        <v>90</v>
      </c>
      <c r="P138" s="89">
        <f>IF(OR(ゲージわざ表[[#This Row],[タイプ]]=$V$2,ゲージわざ表[[#This Row],[タイプ]]=$W$2),ゲージわざ表[[#This Row],[DPS]]*タイプ一致係数,ゲージわざ表[[#This Row],[DPS]])</f>
        <v>25</v>
      </c>
      <c r="Q138" s="116">
        <f>IF(OR(ゲージわざ表[[#This Row],[タイプ]]=$V$2,ゲージわざ表[[#This Row],[タイプ]]=$W$2),ゲージわざ表[[#This Row],[威力_m]]*タイプ一致係数,ゲージわざ表[[#This Row],[威力_m]])</f>
        <v>90</v>
      </c>
      <c r="R138" s="91">
        <f>IF(OR(ゲージわざ表[[#This Row],[タイプ]]=$V$2,ゲージわざ表[[#This Row],[タイプ]]=$W$2),ゲージわざ表[[#This Row],[DPE]]*タイプ一致係数,ゲージわざ表[[#This Row],[DPE]])</f>
        <v>1.5</v>
      </c>
    </row>
    <row r="139" spans="1:18" x14ac:dyDescent="0.45">
      <c r="A139" s="121" t="s">
        <v>114</v>
      </c>
      <c r="B139" s="121" t="s">
        <v>62</v>
      </c>
      <c r="C139" s="468">
        <v>50</v>
      </c>
      <c r="D139" s="91">
        <v>1.9</v>
      </c>
      <c r="E139" s="89">
        <v>26.315789473683999</v>
      </c>
      <c r="F139" s="116">
        <v>3</v>
      </c>
      <c r="G139" s="91">
        <v>1.3</v>
      </c>
      <c r="H139" s="468">
        <v>55</v>
      </c>
      <c r="I139" s="116">
        <v>40</v>
      </c>
      <c r="J139" s="91">
        <v>1.375</v>
      </c>
      <c r="N139" s="473" t="str">
        <f>IF(OR(ゲージわざ表[[#This Row],[タイプ]]=$V$2,ゲージわざ表[[#This Row],[タイプ]]=$W$2),"↑","")</f>
        <v/>
      </c>
      <c r="O139" s="116">
        <f>IF(OR(ゲージわざ表[[#This Row],[タイプ]]=$V$2,ゲージわざ表[[#This Row],[タイプ]]=$W$2),ゲージわざ表[[#This Row],[威力_g]]*タイプ一致係数,ゲージわざ表[[#This Row],[威力_g]])</f>
        <v>50</v>
      </c>
      <c r="P139" s="89">
        <f>IF(OR(ゲージわざ表[[#This Row],[タイプ]]=$V$2,ゲージわざ表[[#This Row],[タイプ]]=$W$2),ゲージわざ表[[#This Row],[DPS]]*タイプ一致係数,ゲージわざ表[[#This Row],[DPS]])</f>
        <v>26.315789473683999</v>
      </c>
      <c r="Q139" s="116">
        <f>IF(OR(ゲージわざ表[[#This Row],[タイプ]]=$V$2,ゲージわざ表[[#This Row],[タイプ]]=$W$2),ゲージわざ表[[#This Row],[威力_m]]*タイプ一致係数,ゲージわざ表[[#This Row],[威力_m]])</f>
        <v>55</v>
      </c>
      <c r="R139" s="91">
        <f>IF(OR(ゲージわざ表[[#This Row],[タイプ]]=$V$2,ゲージわざ表[[#This Row],[タイプ]]=$W$2),ゲージわざ表[[#This Row],[DPE]]*タイプ一致係数,ゲージわざ表[[#This Row],[DPE]])</f>
        <v>1.375</v>
      </c>
    </row>
    <row r="140" spans="1:18" x14ac:dyDescent="0.45">
      <c r="A140" s="121" t="s">
        <v>189</v>
      </c>
      <c r="B140" s="121" t="s">
        <v>62</v>
      </c>
      <c r="C140" s="468">
        <v>90</v>
      </c>
      <c r="D140" s="91">
        <v>3.3</v>
      </c>
      <c r="E140" s="89">
        <v>27.272727272727</v>
      </c>
      <c r="F140" s="116">
        <v>2</v>
      </c>
      <c r="G140" s="91">
        <v>1.3</v>
      </c>
      <c r="H140" s="468">
        <v>90</v>
      </c>
      <c r="I140" s="116">
        <v>55</v>
      </c>
      <c r="J140" s="91">
        <v>1.6363636363636</v>
      </c>
      <c r="N140" s="473" t="str">
        <f>IF(OR(ゲージわざ表[[#This Row],[タイプ]]=$V$2,ゲージわざ表[[#This Row],[タイプ]]=$W$2),"↑","")</f>
        <v/>
      </c>
      <c r="O140" s="116">
        <f>IF(OR(ゲージわざ表[[#This Row],[タイプ]]=$V$2,ゲージわざ表[[#This Row],[タイプ]]=$W$2),ゲージわざ表[[#This Row],[威力_g]]*タイプ一致係数,ゲージわざ表[[#This Row],[威力_g]])</f>
        <v>90</v>
      </c>
      <c r="P140" s="89">
        <f>IF(OR(ゲージわざ表[[#This Row],[タイプ]]=$V$2,ゲージわざ表[[#This Row],[タイプ]]=$W$2),ゲージわざ表[[#This Row],[DPS]]*タイプ一致係数,ゲージわざ表[[#This Row],[DPS]])</f>
        <v>27.272727272727</v>
      </c>
      <c r="Q140" s="116">
        <f>IF(OR(ゲージわざ表[[#This Row],[タイプ]]=$V$2,ゲージわざ表[[#This Row],[タイプ]]=$W$2),ゲージわざ表[[#This Row],[威力_m]]*タイプ一致係数,ゲージわざ表[[#This Row],[威力_m]])</f>
        <v>90</v>
      </c>
      <c r="R140" s="91">
        <f>IF(OR(ゲージわざ表[[#This Row],[タイプ]]=$V$2,ゲージわざ表[[#This Row],[タイプ]]=$W$2),ゲージわざ表[[#This Row],[DPE]]*タイプ一致係数,ゲージわざ表[[#This Row],[DPE]])</f>
        <v>1.6363636363636</v>
      </c>
    </row>
    <row r="141" spans="1:18" x14ac:dyDescent="0.45">
      <c r="A141" s="120" t="s">
        <v>201</v>
      </c>
      <c r="B141" s="120" t="s">
        <v>47</v>
      </c>
      <c r="C141" s="468">
        <v>40</v>
      </c>
      <c r="D141" s="91">
        <v>1.9</v>
      </c>
      <c r="E141" s="89">
        <v>21.052631578947</v>
      </c>
      <c r="F141" s="116">
        <v>3</v>
      </c>
      <c r="G141" s="91">
        <v>1.3</v>
      </c>
      <c r="H141" s="468">
        <v>40</v>
      </c>
      <c r="I141" s="116">
        <v>40</v>
      </c>
      <c r="J141" s="91">
        <v>1</v>
      </c>
      <c r="N141" s="473" t="str">
        <f>IF(OR(ゲージわざ表[[#This Row],[タイプ]]=$V$2,ゲージわざ表[[#This Row],[タイプ]]=$W$2),"↑","")</f>
        <v/>
      </c>
      <c r="O141" s="90">
        <f>IF(OR(ゲージわざ表[[#This Row],[タイプ]]=$V$2,ゲージわざ表[[#This Row],[タイプ]]=$W$2),ゲージわざ表[[#This Row],[威力_g]]*タイプ一致係数,ゲージわざ表[[#This Row],[威力_g]])</f>
        <v>40</v>
      </c>
      <c r="P141" s="89">
        <f>IF(OR(ゲージわざ表[[#This Row],[タイプ]]=$V$2,ゲージわざ表[[#This Row],[タイプ]]=$W$2),ゲージわざ表[[#This Row],[DPS]]*タイプ一致係数,ゲージわざ表[[#This Row],[DPS]])</f>
        <v>21.052631578947</v>
      </c>
      <c r="Q141" s="90">
        <f>IF(OR(ゲージわざ表[[#This Row],[タイプ]]=$V$2,ゲージわざ表[[#This Row],[タイプ]]=$W$2),ゲージわざ表[[#This Row],[威力_m]]*タイプ一致係数,ゲージわざ表[[#This Row],[威力_m]])</f>
        <v>40</v>
      </c>
      <c r="R141" s="91">
        <f>IF(OR(ゲージわざ表[[#This Row],[タイプ]]=$V$2,ゲージわざ表[[#This Row],[タイプ]]=$W$2),ゲージわざ表[[#This Row],[DPE]]*タイプ一致係数,ゲージわざ表[[#This Row],[DPE]])</f>
        <v>1</v>
      </c>
    </row>
    <row r="142" spans="1:18" x14ac:dyDescent="0.45">
      <c r="A142" s="117" t="s">
        <v>142</v>
      </c>
      <c r="B142" s="117" t="s">
        <v>68</v>
      </c>
      <c r="C142" s="468">
        <v>130</v>
      </c>
      <c r="D142" s="91">
        <v>3.1</v>
      </c>
      <c r="E142" s="89">
        <v>41.935483870968</v>
      </c>
      <c r="F142" s="116">
        <v>1</v>
      </c>
      <c r="G142" s="91">
        <v>1.8</v>
      </c>
      <c r="H142" s="468">
        <v>130</v>
      </c>
      <c r="I142" s="116">
        <v>75</v>
      </c>
      <c r="J142" s="91">
        <v>1.7333333333333001</v>
      </c>
      <c r="K142" s="90" t="s">
        <v>1781</v>
      </c>
      <c r="L142" s="90">
        <v>1</v>
      </c>
      <c r="M142" s="90">
        <v>1</v>
      </c>
      <c r="N142" s="473" t="str">
        <f>IF(OR(ゲージわざ表[[#This Row],[タイプ]]=$V$2,ゲージわざ表[[#This Row],[タイプ]]=$W$2),"↑","")</f>
        <v/>
      </c>
      <c r="O142" s="90">
        <f>IF(OR(ゲージわざ表[[#This Row],[タイプ]]=$V$2,ゲージわざ表[[#This Row],[タイプ]]=$W$2),ゲージわざ表[[#This Row],[威力_g]]*タイプ一致係数,ゲージわざ表[[#This Row],[威力_g]])</f>
        <v>130</v>
      </c>
      <c r="P142" s="89">
        <f>IF(OR(ゲージわざ表[[#This Row],[タイプ]]=$V$2,ゲージわざ表[[#This Row],[タイプ]]=$W$2),ゲージわざ表[[#This Row],[DPS]]*タイプ一致係数,ゲージわざ表[[#This Row],[DPS]])</f>
        <v>41.935483870968</v>
      </c>
      <c r="Q142" s="90">
        <f>IF(OR(ゲージわざ表[[#This Row],[タイプ]]=$V$2,ゲージわざ表[[#This Row],[タイプ]]=$W$2),ゲージわざ表[[#This Row],[威力_m]]*タイプ一致係数,ゲージわざ表[[#This Row],[威力_m]])</f>
        <v>130</v>
      </c>
      <c r="R142" s="91">
        <f>IF(OR(ゲージわざ表[[#This Row],[タイプ]]=$V$2,ゲージわざ表[[#This Row],[タイプ]]=$W$2),ゲージわざ表[[#This Row],[DPE]]*タイプ一致係数,ゲージわざ表[[#This Row],[DPE]])</f>
        <v>1.7333333333333001</v>
      </c>
    </row>
    <row r="143" spans="1:18" x14ac:dyDescent="0.45">
      <c r="A143" s="119" t="s">
        <v>286</v>
      </c>
      <c r="B143" s="119" t="s">
        <v>43</v>
      </c>
      <c r="C143" s="468">
        <v>50</v>
      </c>
      <c r="D143" s="91">
        <v>2.1</v>
      </c>
      <c r="E143" s="89">
        <v>23.809523809523998</v>
      </c>
      <c r="F143" s="116">
        <v>3</v>
      </c>
      <c r="G143" s="91">
        <v>1.6</v>
      </c>
      <c r="H143" s="468">
        <v>50</v>
      </c>
      <c r="I143" s="116">
        <v>40</v>
      </c>
      <c r="J143" s="91">
        <v>1.25</v>
      </c>
      <c r="N143" s="473" t="str">
        <f>IF(OR(ゲージわざ表[[#This Row],[タイプ]]=$V$2,ゲージわざ表[[#This Row],[タイプ]]=$W$2),"↑","")</f>
        <v/>
      </c>
      <c r="O143" s="90">
        <f>IF(OR(ゲージわざ表[[#This Row],[タイプ]]=$V$2,ゲージわざ表[[#This Row],[タイプ]]=$W$2),ゲージわざ表[[#This Row],[威力_g]]*タイプ一致係数,ゲージわざ表[[#This Row],[威力_g]])</f>
        <v>50</v>
      </c>
      <c r="P143" s="89">
        <f>IF(OR(ゲージわざ表[[#This Row],[タイプ]]=$V$2,ゲージわざ表[[#This Row],[タイプ]]=$W$2),ゲージわざ表[[#This Row],[DPS]]*タイプ一致係数,ゲージわざ表[[#This Row],[DPS]])</f>
        <v>23.809523809523998</v>
      </c>
      <c r="Q143" s="90">
        <f>IF(OR(ゲージわざ表[[#This Row],[タイプ]]=$V$2,ゲージわざ表[[#This Row],[タイプ]]=$W$2),ゲージわざ表[[#This Row],[威力_m]]*タイプ一致係数,ゲージわざ表[[#This Row],[威力_m]])</f>
        <v>50</v>
      </c>
      <c r="R143" s="91">
        <f>IF(OR(ゲージわざ表[[#This Row],[タイプ]]=$V$2,ゲージわざ表[[#This Row],[タイプ]]=$W$2),ゲージわざ表[[#This Row],[DPE]]*タイプ一致係数,ゲージわざ表[[#This Row],[DPE]])</f>
        <v>1.25</v>
      </c>
    </row>
    <row r="144" spans="1:18" x14ac:dyDescent="0.45">
      <c r="A144" s="118" t="s">
        <v>94</v>
      </c>
      <c r="B144" s="526" t="s">
        <v>8</v>
      </c>
      <c r="C144" s="468">
        <v>90</v>
      </c>
      <c r="D144" s="91">
        <v>2.6</v>
      </c>
      <c r="E144" s="89">
        <v>34.615384615384997</v>
      </c>
      <c r="F144" s="116">
        <v>2</v>
      </c>
      <c r="G144" s="520">
        <v>1.7</v>
      </c>
      <c r="H144" s="468">
        <v>90</v>
      </c>
      <c r="I144" s="116">
        <v>50</v>
      </c>
      <c r="J144" s="91">
        <v>1.8</v>
      </c>
      <c r="M144" s="521"/>
      <c r="N144" s="473" t="str">
        <f>IF(OR(ゲージわざ表[[#This Row],[タイプ]]=$V$2,ゲージわざ表[[#This Row],[タイプ]]=$W$2),"↑","")</f>
        <v/>
      </c>
      <c r="O144" s="90">
        <f>IF(OR(ゲージわざ表[[#This Row],[タイプ]]=$V$2,ゲージわざ表[[#This Row],[タイプ]]=$W$2),ゲージわざ表[[#This Row],[威力_g]]*タイプ一致係数,ゲージわざ表[[#This Row],[威力_g]])</f>
        <v>90</v>
      </c>
      <c r="P144" s="89">
        <f>IF(OR(ゲージわざ表[[#This Row],[タイプ]]=$V$2,ゲージわざ表[[#This Row],[タイプ]]=$W$2),ゲージわざ表[[#This Row],[DPS]]*タイプ一致係数,ゲージわざ表[[#This Row],[DPS]])</f>
        <v>34.615384615384997</v>
      </c>
      <c r="Q144" s="90">
        <f>IF(OR(ゲージわざ表[[#This Row],[タイプ]]=$V$2,ゲージわざ表[[#This Row],[タイプ]]=$W$2),ゲージわざ表[[#This Row],[威力_m]]*タイプ一致係数,ゲージわざ表[[#This Row],[威力_m]])</f>
        <v>90</v>
      </c>
      <c r="R144" s="91">
        <f>IF(OR(ゲージわざ表[[#This Row],[タイプ]]=$V$2,ゲージわざ表[[#This Row],[タイプ]]=$W$2),ゲージわざ表[[#This Row],[DPE]]*タイプ一致係数,ゲージわざ表[[#This Row],[DPE]])</f>
        <v>1.8</v>
      </c>
    </row>
    <row r="145" spans="1:18" x14ac:dyDescent="0.45">
      <c r="A145" s="117" t="s">
        <v>645</v>
      </c>
      <c r="B145" s="527" t="s">
        <v>68</v>
      </c>
      <c r="C145" s="468">
        <v>35</v>
      </c>
      <c r="D145" s="91">
        <v>2.2000000000000002</v>
      </c>
      <c r="E145" s="89">
        <v>15.909090909091001</v>
      </c>
      <c r="F145" s="116">
        <v>3</v>
      </c>
      <c r="G145" s="520">
        <v>1.2</v>
      </c>
      <c r="H145" s="468">
        <v>35</v>
      </c>
      <c r="I145" s="116">
        <v>100</v>
      </c>
      <c r="J145" s="91">
        <v>0.35</v>
      </c>
      <c r="M145" s="521"/>
      <c r="N145" s="473" t="str">
        <f>IF(OR(ゲージわざ表[[#This Row],[タイプ]]=$V$2,ゲージわざ表[[#This Row],[タイプ]]=$W$2),"↑","")</f>
        <v/>
      </c>
      <c r="O145" s="116">
        <f>IF(OR(ゲージわざ表[[#This Row],[タイプ]]=$V$2,ゲージわざ表[[#This Row],[タイプ]]=$W$2),ゲージわざ表[[#This Row],[威力_g]]*タイプ一致係数,ゲージわざ表[[#This Row],[威力_g]])</f>
        <v>35</v>
      </c>
      <c r="P145" s="89">
        <f>IF(OR(ゲージわざ表[[#This Row],[タイプ]]=$V$2,ゲージわざ表[[#This Row],[タイプ]]=$W$2),ゲージわざ表[[#This Row],[DPS]]*タイプ一致係数,ゲージわざ表[[#This Row],[DPS]])</f>
        <v>15.909090909091001</v>
      </c>
      <c r="Q145" s="116">
        <f>IF(OR(ゲージわざ表[[#This Row],[タイプ]]=$V$2,ゲージわざ表[[#This Row],[タイプ]]=$W$2),ゲージわざ表[[#This Row],[威力_m]]*タイプ一致係数,ゲージわざ表[[#This Row],[威力_m]])</f>
        <v>35</v>
      </c>
      <c r="R145" s="91">
        <f>IF(OR(ゲージわざ表[[#This Row],[タイプ]]=$V$2,ゲージわざ表[[#This Row],[タイプ]]=$W$2),ゲージわざ表[[#This Row],[DPE]]*タイプ一致係数,ゲージわざ表[[#This Row],[DPE]])</f>
        <v>0.35</v>
      </c>
    </row>
  </sheetData>
  <dataConsolidate/>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H278"/>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7" width="5.88671875" style="3" customWidth="1"/>
    <col min="18" max="18" width="6.109375" style="3" customWidth="1"/>
    <col min="19" max="20" width="5.109375" style="246" customWidth="1"/>
    <col min="21" max="21" width="6.109375" style="3" customWidth="1"/>
    <col min="22" max="24" width="6.33203125" style="297" customWidth="1"/>
    <col min="25" max="30" width="6.33203125" style="3" customWidth="1"/>
    <col min="31" max="31" width="6.33203125" style="4" customWidth="1"/>
    <col min="32" max="32" width="6.33203125" style="6" customWidth="1"/>
    <col min="33" max="33" width="6.33203125" style="293" customWidth="1"/>
    <col min="34" max="37" width="6.33203125" style="4" customWidth="1"/>
    <col min="38" max="38" width="5.77734375" style="5" customWidth="1"/>
    <col min="39" max="39" width="4.44140625" style="1" customWidth="1"/>
    <col min="40" max="41" width="4.33203125" customWidth="1"/>
    <col min="42" max="42" width="5" style="1" customWidth="1"/>
    <col min="43" max="43" width="6.6640625" style="1" customWidth="1"/>
    <col min="44" max="45" width="6.109375" customWidth="1"/>
    <col min="46" max="46" width="6.109375" style="343" customWidth="1"/>
    <col min="47" max="47" width="6.109375" style="92" customWidth="1"/>
    <col min="48" max="48" width="6.33203125" style="343" customWidth="1"/>
    <col min="49" max="49" width="6.109375" style="92" customWidth="1"/>
    <col min="50" max="50" width="6.109375" style="343" customWidth="1"/>
    <col min="51" max="51" width="6.109375" style="92" customWidth="1"/>
    <col min="52" max="53" width="6.109375" style="1" customWidth="1"/>
    <col min="54" max="55" width="13.6640625" style="1" customWidth="1"/>
    <col min="56" max="56" width="5.77734375" style="1" customWidth="1"/>
    <col min="57" max="57" width="10.77734375" style="1" customWidth="1"/>
    <col min="58" max="59" width="6.109375" style="1" customWidth="1"/>
    <col min="60" max="60" width="6.109375" style="3" customWidth="1"/>
    <col min="61" max="61" width="6.109375" style="1" customWidth="1"/>
    <col min="62" max="62" width="10.77734375" style="1" customWidth="1"/>
    <col min="63" max="63" width="6.109375" style="4" customWidth="1"/>
    <col min="64" max="64" width="6.109375" style="2" customWidth="1"/>
    <col min="65" max="65" width="6.109375" style="4" customWidth="1"/>
    <col min="66" max="66" width="6.109375" style="2" customWidth="1"/>
    <col min="67" max="68" width="10.77734375" style="2" customWidth="1"/>
    <col min="69" max="69" width="6.109375" style="4" customWidth="1"/>
    <col min="70" max="70" width="6.109375" style="2" customWidth="1"/>
    <col min="71" max="71" width="5.77734375" style="2" customWidth="1"/>
    <col min="72" max="72" width="9.44140625" style="2" customWidth="1"/>
    <col min="73" max="73" width="6.88671875" style="4" customWidth="1"/>
    <col min="74" max="74" width="6.88671875" style="2" customWidth="1"/>
    <col min="75" max="75" width="6.88671875" style="4" customWidth="1"/>
    <col min="76" max="76" width="6.88671875" style="2" customWidth="1"/>
    <col min="77" max="77" width="10.77734375" style="2" customWidth="1"/>
    <col min="78" max="78" width="6.88671875" style="4" customWidth="1"/>
    <col min="79" max="79" width="6.88671875" style="2" customWidth="1"/>
    <col min="80" max="81" width="10.77734375" style="2" customWidth="1"/>
    <col min="82" max="82" width="6.88671875" style="3" customWidth="1"/>
    <col min="83" max="83" width="6.88671875" style="2" customWidth="1"/>
    <col min="84" max="84" width="7.88671875" style="2" customWidth="1"/>
    <col min="85" max="85" width="7.88671875" style="3" customWidth="1"/>
    <col min="86" max="86" width="7.88671875" style="2" customWidth="1"/>
    <col min="87" max="16384" width="8.88671875" style="1"/>
  </cols>
  <sheetData>
    <row r="1" spans="1:86" s="278" customFormat="1" ht="15" customHeight="1" x14ac:dyDescent="0.45">
      <c r="A1" s="316"/>
      <c r="B1" s="316"/>
      <c r="C1" s="316"/>
      <c r="D1" s="316"/>
      <c r="E1" s="316"/>
      <c r="F1" s="316"/>
      <c r="G1" s="317"/>
      <c r="H1" s="317" t="s">
        <v>2531</v>
      </c>
      <c r="I1" s="317"/>
      <c r="J1" s="317"/>
      <c r="K1" s="317"/>
      <c r="L1" s="317"/>
      <c r="M1" s="317"/>
      <c r="N1" s="317" t="s">
        <v>2555</v>
      </c>
      <c r="O1" s="318"/>
      <c r="P1" s="319" t="s">
        <v>2946</v>
      </c>
      <c r="Q1" s="319"/>
      <c r="R1" s="319"/>
      <c r="S1" s="320"/>
      <c r="T1" s="320"/>
      <c r="U1" s="319"/>
      <c r="V1" s="321" t="s">
        <v>2532</v>
      </c>
      <c r="W1" s="321" t="s">
        <v>2528</v>
      </c>
      <c r="X1" s="321"/>
      <c r="Y1" s="352" t="s">
        <v>2529</v>
      </c>
      <c r="Z1" s="352"/>
      <c r="AA1" s="352"/>
      <c r="AB1" s="347" t="s">
        <v>2530</v>
      </c>
      <c r="AC1" s="347"/>
      <c r="AD1" s="347"/>
      <c r="AE1" s="325" t="s">
        <v>2533</v>
      </c>
      <c r="AF1" s="326" t="s">
        <v>2534</v>
      </c>
      <c r="AG1" s="322"/>
      <c r="AH1" s="277" t="s">
        <v>2535</v>
      </c>
      <c r="AI1" s="277"/>
      <c r="AJ1" s="277" t="s">
        <v>2536</v>
      </c>
      <c r="AK1" s="277"/>
      <c r="AL1" s="328" t="s">
        <v>2537</v>
      </c>
      <c r="AM1" s="317" t="s">
        <v>2553</v>
      </c>
      <c r="AN1" s="330" t="s">
        <v>2537</v>
      </c>
      <c r="AO1" s="330"/>
      <c r="AP1" s="330" t="s">
        <v>2539</v>
      </c>
      <c r="AQ1" s="330"/>
      <c r="AR1" s="330" t="s">
        <v>2963</v>
      </c>
      <c r="AS1" s="330"/>
      <c r="AT1" s="342"/>
      <c r="AU1" s="344"/>
      <c r="AV1" s="342"/>
      <c r="AW1" s="344"/>
      <c r="AX1" s="342"/>
      <c r="AY1" s="344"/>
      <c r="AZ1" s="330"/>
      <c r="BA1" s="330"/>
      <c r="BB1" s="317" t="s">
        <v>2540</v>
      </c>
      <c r="BC1" s="317"/>
      <c r="BD1" s="340" t="s">
        <v>2541</v>
      </c>
      <c r="BE1" s="335" t="s">
        <v>2534</v>
      </c>
      <c r="BF1" s="335"/>
      <c r="BG1" s="335"/>
      <c r="BH1" s="351"/>
      <c r="BI1" s="335"/>
      <c r="BJ1" s="349" t="s">
        <v>2546</v>
      </c>
      <c r="BK1" s="327"/>
      <c r="BL1" s="336"/>
      <c r="BM1" s="327"/>
      <c r="BN1" s="336"/>
      <c r="BO1" s="337" t="s">
        <v>2547</v>
      </c>
      <c r="BP1" s="337"/>
      <c r="BQ1" s="277"/>
      <c r="BR1" s="337"/>
      <c r="BS1" s="339" t="s">
        <v>2533</v>
      </c>
      <c r="BT1" s="350" t="s">
        <v>2550</v>
      </c>
      <c r="BU1" s="345"/>
      <c r="BV1" s="346"/>
      <c r="BW1" s="345"/>
      <c r="BX1" s="346"/>
      <c r="BY1" s="336" t="s">
        <v>2549</v>
      </c>
      <c r="BZ1" s="327"/>
      <c r="CA1" s="336"/>
      <c r="CB1" s="337" t="s">
        <v>2548</v>
      </c>
      <c r="CC1" s="337"/>
      <c r="CD1" s="347"/>
      <c r="CE1" s="337"/>
      <c r="CF1" s="323"/>
      <c r="CG1" s="324"/>
      <c r="CH1" s="323"/>
    </row>
    <row r="2" spans="1:86" s="17" customFormat="1" ht="18" customHeight="1" x14ac:dyDescent="0.45">
      <c r="A2" s="300" t="s">
        <v>327</v>
      </c>
      <c r="B2" s="300" t="s">
        <v>326</v>
      </c>
      <c r="C2" s="301" t="s">
        <v>325</v>
      </c>
      <c r="D2" s="300" t="s">
        <v>324</v>
      </c>
      <c r="E2" s="300" t="s">
        <v>2813</v>
      </c>
      <c r="F2" s="300" t="s">
        <v>323</v>
      </c>
      <c r="G2" s="300" t="s">
        <v>322</v>
      </c>
      <c r="H2" s="302" t="s">
        <v>3861</v>
      </c>
      <c r="I2" s="302" t="s">
        <v>3862</v>
      </c>
      <c r="J2" s="302" t="s">
        <v>3863</v>
      </c>
      <c r="K2" s="302" t="s">
        <v>321</v>
      </c>
      <c r="L2" s="302" t="s">
        <v>320</v>
      </c>
      <c r="M2" s="302" t="s">
        <v>319</v>
      </c>
      <c r="N2" s="302" t="s">
        <v>3864</v>
      </c>
      <c r="O2" s="303" t="s">
        <v>318</v>
      </c>
      <c r="P2" s="304" t="s">
        <v>317</v>
      </c>
      <c r="Q2" s="304" t="s">
        <v>316</v>
      </c>
      <c r="R2" s="296" t="s">
        <v>315</v>
      </c>
      <c r="S2" s="305" t="s">
        <v>314</v>
      </c>
      <c r="T2" s="305" t="s">
        <v>313</v>
      </c>
      <c r="U2" s="296" t="s">
        <v>312</v>
      </c>
      <c r="V2" s="299" t="s">
        <v>3865</v>
      </c>
      <c r="W2" s="353" t="s">
        <v>3866</v>
      </c>
      <c r="X2" s="353" t="s">
        <v>3867</v>
      </c>
      <c r="Y2" s="354" t="s">
        <v>3868</v>
      </c>
      <c r="Z2" s="354" t="s">
        <v>3869</v>
      </c>
      <c r="AA2" s="354" t="s">
        <v>3870</v>
      </c>
      <c r="AB2" s="354" t="s">
        <v>3871</v>
      </c>
      <c r="AC2" s="354" t="s">
        <v>3872</v>
      </c>
      <c r="AD2" s="354" t="s">
        <v>3873</v>
      </c>
      <c r="AE2" s="294" t="s">
        <v>3874</v>
      </c>
      <c r="AF2" s="294" t="s">
        <v>3875</v>
      </c>
      <c r="AG2" s="294" t="s">
        <v>3876</v>
      </c>
      <c r="AH2" s="306" t="s">
        <v>3877</v>
      </c>
      <c r="AI2" s="306" t="s">
        <v>3878</v>
      </c>
      <c r="AJ2" s="306" t="s">
        <v>3879</v>
      </c>
      <c r="AK2" s="306" t="s">
        <v>3880</v>
      </c>
      <c r="AL2" s="488" t="s">
        <v>2538</v>
      </c>
      <c r="AM2" s="329" t="s">
        <v>3881</v>
      </c>
      <c r="AN2" s="331" t="s">
        <v>3882</v>
      </c>
      <c r="AO2" s="331" t="s">
        <v>3883</v>
      </c>
      <c r="AP2" s="331" t="s">
        <v>1602</v>
      </c>
      <c r="AQ2" s="331" t="s">
        <v>2554</v>
      </c>
      <c r="AR2" s="331" t="s">
        <v>3884</v>
      </c>
      <c r="AS2" s="331" t="s">
        <v>3885</v>
      </c>
      <c r="AT2" s="333" t="s">
        <v>3886</v>
      </c>
      <c r="AU2" s="332" t="s">
        <v>3887</v>
      </c>
      <c r="AV2" s="333" t="s">
        <v>3888</v>
      </c>
      <c r="AW2" s="332" t="s">
        <v>3889</v>
      </c>
      <c r="AX2" s="333" t="s">
        <v>3890</v>
      </c>
      <c r="AY2" s="332" t="s">
        <v>3891</v>
      </c>
      <c r="AZ2" s="332" t="s">
        <v>3708</v>
      </c>
      <c r="BA2" s="333" t="s">
        <v>3892</v>
      </c>
      <c r="BB2" s="329" t="s">
        <v>3709</v>
      </c>
      <c r="BC2" s="329" t="s">
        <v>3893</v>
      </c>
      <c r="BD2" s="334" t="s">
        <v>3894</v>
      </c>
      <c r="BE2" s="348" t="s">
        <v>3895</v>
      </c>
      <c r="BF2" s="307" t="s">
        <v>3896</v>
      </c>
      <c r="BG2" s="308" t="s">
        <v>3897</v>
      </c>
      <c r="BH2" s="313" t="s">
        <v>3898</v>
      </c>
      <c r="BI2" s="308" t="s">
        <v>3899</v>
      </c>
      <c r="BJ2" s="310" t="s">
        <v>3900</v>
      </c>
      <c r="BK2" s="309" t="s">
        <v>3901</v>
      </c>
      <c r="BL2" s="310" t="s">
        <v>3902</v>
      </c>
      <c r="BM2" s="309" t="s">
        <v>3903</v>
      </c>
      <c r="BN2" s="310" t="s">
        <v>3904</v>
      </c>
      <c r="BO2" s="312" t="s">
        <v>3905</v>
      </c>
      <c r="BP2" s="312" t="s">
        <v>3906</v>
      </c>
      <c r="BQ2" s="311" t="s">
        <v>3907</v>
      </c>
      <c r="BR2" s="312" t="s">
        <v>3908</v>
      </c>
      <c r="BS2" s="338" t="s">
        <v>3909</v>
      </c>
      <c r="BT2" s="308" t="s">
        <v>3910</v>
      </c>
      <c r="BU2" s="313" t="s">
        <v>3911</v>
      </c>
      <c r="BV2" s="308" t="s">
        <v>3912</v>
      </c>
      <c r="BW2" s="307" t="s">
        <v>3913</v>
      </c>
      <c r="BX2" s="308" t="s">
        <v>3914</v>
      </c>
      <c r="BY2" s="310" t="s">
        <v>3915</v>
      </c>
      <c r="BZ2" s="314" t="s">
        <v>3916</v>
      </c>
      <c r="CA2" s="310" t="s">
        <v>3917</v>
      </c>
      <c r="CB2" s="312" t="s">
        <v>3918</v>
      </c>
      <c r="CC2" s="312" t="s">
        <v>3919</v>
      </c>
      <c r="CD2" s="315" t="s">
        <v>3920</v>
      </c>
      <c r="CE2" s="312" t="s">
        <v>3921</v>
      </c>
      <c r="CF2" s="17" t="s">
        <v>2542</v>
      </c>
    </row>
    <row r="3" spans="1:86" ht="16.5" x14ac:dyDescent="0.45">
      <c r="A3" s="10"/>
      <c r="B3" s="64"/>
      <c r="C3" s="13"/>
      <c r="D3" s="482"/>
      <c r="E3" s="482"/>
      <c r="F3" s="10"/>
      <c r="G3" s="10"/>
      <c r="H3" s="10"/>
      <c r="I3" s="10"/>
      <c r="J3" s="10"/>
      <c r="K3" s="64"/>
      <c r="L3" s="65"/>
      <c r="M3" s="13"/>
      <c r="N3" s="10"/>
      <c r="O3" s="482">
        <f>IF(個体表[[#This Row],[PL_fix]]&gt;0, 個体表[[#This Row],[PL_fix]], getPL(個体表[[#This Row],[種族名]], 個体表[[#This Row],[CP]], 個体表[[#This Row],[HP]], 個体表[[#This Row],[ATK_ind]], 個体表[[#This Row],[DEF_ind]], 個体表[[#This Row],[HP_ind]]) )</f>
        <v>0</v>
      </c>
      <c r="P3" s="8" t="str">
        <f>IF(個体表[[#This Row],[PL]]=0, "",
(INDEX(種族元表[],MATCH(個体表[[#This Row],[種族名]],種族元表[種族名],0), COLUMN(種族元表[[#Headers],[ATK]])) + 個体表[[#This Row],[ATK_ind]])
* VLOOKUP(個体表[[#This Row],[PL]],CPM表[],2,FALSE))</f>
        <v/>
      </c>
      <c r="Q3" s="8" t="str">
        <f>IF(個体表[[#This Row],[PL]]=0, "",
(INDEX(種族元表[],MATCH(個体表[[#This Row],[種族名]],種族元表[種族名],0), COLUMN(種族元表[[#Headers],[DEF]])) + 個体表[[#This Row],[DEF_ind]])
* VLOOKUP(個体表[[#This Row],[PL]],CPM表[],2,FALSE))</f>
        <v/>
      </c>
      <c r="R3" s="8" t="str">
        <f>IF(個体表[[#This Row],[PL]]=0, "",
(INDEX(種族元表[],MATCH(個体表[[#This Row],[種族名]],種族元表[種族名],0), COLUMN(種族元表[[#Headers],[HP]])) + 個体表[[#This Row],[HP_ind]])
* VLOOKUP(個体表[[#This Row],[PL]],CPM表[],2,FALSE))</f>
        <v/>
      </c>
      <c r="S3" s="483" t="str">
        <f>IF(個体表[[#This Row],[PL]]=0, "",(個体表[[#This Row],[攻撃力]]*個体表[[#This Row],[防御力]]*個体表[[#This Row],[HP2]])^(2/3)/10)</f>
        <v/>
      </c>
      <c r="T3" s="483" t="str">
        <f>IF(個体表[[#This Row],[PL]]=0, "",(個体表[[#This Row],[攻撃力]]*個体表[[#This Row],[防御力]]^2*個体表[[#This Row],[HP2]]^2)^(2/5)/10)</f>
        <v/>
      </c>
      <c r="U3" s="8" t="str">
        <f>IF(個体表[[#This Row],[PL]]=0, "",個体表[[#This Row],[HP2]]/(1000/個体表[[#This Row],[防御力]]+1))</f>
        <v/>
      </c>
      <c r="V3" s="298"/>
      <c r="W3" s="298"/>
      <c r="X3" s="298"/>
      <c r="Y3" s="8"/>
      <c r="Z3" s="355"/>
      <c r="AA3" s="8"/>
      <c r="AB3" s="8"/>
      <c r="AC3" s="8"/>
      <c r="AD3" s="8"/>
      <c r="AE3" s="9"/>
      <c r="AF3" s="12"/>
      <c r="AG3" s="295"/>
      <c r="AH3" s="9"/>
      <c r="AI3" s="9"/>
      <c r="AJ3" s="9"/>
      <c r="AK3" s="9"/>
      <c r="AL3" s="11"/>
      <c r="AM3" s="10"/>
      <c r="AN3" s="482">
        <f>IF(個体表[[#This Row],[PL_Target]]&gt;0,個体表[[#This Row],[PL_Target]], IF(個体表[[#This Row],[PL]]&lt;30, 30, IF(個体表[[#This Row],[PL]]&lt;40, 個体表[[#This Row],[PL]]+0.5,40)))</f>
        <v>30</v>
      </c>
      <c r="AO3" s="482">
        <f>IF(個体表[[#This Row],[PL_pr]]=個体表[[#This Row],[PL]],"",個体表[[#This Row],[PL_pr]]-個体表[[#This Row],[PL]])</f>
        <v>30</v>
      </c>
      <c r="AP3" s="482">
        <f>IF(個体表[[#This Row],[PL]]=個体表[[#This Row],[PL_pr]],"",SUMIFS(CPM表[アメ],CPM表[PL],"&gt;"&amp;個体表[[#This Row],[PL]],CPM表[PL],"&lt;="&amp;個体表[[#This Row],[PL_pr]]))</f>
        <v>122</v>
      </c>
      <c r="AQ3" s="482">
        <f>IF(個体表[[#This Row],[PL]]=個体表[[#This Row],[PL_pr]],"",SUMIFS(CPM表[ほしのすな],CPM表[PL],"&gt;"&amp;個体表[[#This Row],[PL]],CPM表[PL],"&lt;="&amp;個体表[[#This Row],[PL_pr]]))</f>
        <v>120000</v>
      </c>
      <c r="AR3" s="482" t="e">
        <f>IF(個体表[[#This Row],[HP2_pr]]="","",
FLOOR(個体表[[#This Row],[攻撃力_pr]]*SQRT(個体表[[#This Row],[防御力_pr]])*SQRT(個体表[[#This Row],[HP2_pr]])/10,1))</f>
        <v>#N/A</v>
      </c>
      <c r="AS3" s="482" t="e">
        <f>IF(個体表[[#This Row],[HP2_pr]]="","",FLOOR(個体表[[#This Row],[HP2_pr]],1))</f>
        <v>#N/A</v>
      </c>
      <c r="AT3" s="7" t="e">
        <f>IF(個体表[[#This Row],[HP_pr]]="","",(個体表[[#This Row],[HP_pr]]-個体表[[#This Row],[HP]])/個体表[[#This Row],[HP]])</f>
        <v>#N/A</v>
      </c>
      <c r="AU3" s="9" t="e">
        <f>IF(個体表[[#This Row],[PL]]=個体表[[#This Row],[PL_pr]],"",
(INDEX(種族元表[],MATCH(個体表[[#This Row],[種族名]],種族元表[種族名],0), COLUMN(種族元表[[#Headers],[ATK]])) + 個体表[[#This Row],[ATK_ind]])
* VLOOKUP(個体表[[#This Row],[PL_pr]],CPM表[],2,FALSE))</f>
        <v>#N/A</v>
      </c>
      <c r="AV3" s="7" t="e">
        <f>IF(個体表[[#This Row],[攻撃力_pr]]="","",(個体表[[#This Row],[攻撃力_pr]]-個体表[[#This Row],[攻撃力]])/個体表[[#This Row],[攻撃力]])</f>
        <v>#N/A</v>
      </c>
      <c r="AW3" s="9" t="e">
        <f>IF(個体表[[#This Row],[PL]]=個体表[[#This Row],[PL_pr]],"",
(INDEX(種族元表[],MATCH(個体表[[#This Row],[種族名]],種族元表[種族名],0), COLUMN(種族元表[[#Headers],[DEF]])) + 個体表[[#This Row],[DEF_ind]])
* VLOOKUP(個体表[[#This Row],[PL_pr]],CPM表[],2,FALSE))</f>
        <v>#N/A</v>
      </c>
      <c r="AX3" s="7" t="e">
        <f>IF(個体表[[#This Row],[防御力_pr]]="","",(個体表[[#This Row],[防御力_pr]]-個体表[[#This Row],[防御力]])/個体表[[#This Row],[防御力]])</f>
        <v>#N/A</v>
      </c>
      <c r="AY3" s="9" t="e">
        <f>IF(個体表[[#This Row],[PL]]=個体表[[#This Row],[PL_pr]],"",
(INDEX(種族元表[],MATCH(個体表[[#This Row],[種族名]],種族元表[種族名],0), COLUMN(種族元表[[#Headers],[HP]])) + 個体表[[#This Row],[HP_ind]])
* VLOOKUP(個体表[[#This Row],[PL_pr]],CPM表[],2,FALSE))</f>
        <v>#N/A</v>
      </c>
      <c r="AZ3" s="9" t="e">
        <f>IF(OR(個体表[[#This Row],[HP_pr]]="",個体表[[#This Row],[防御力_pr]]=""),"",個体表[[#This Row],[HP_pr]]/(1000/個体表[[#This Row],[防御力_pr]]+1))</f>
        <v>#N/A</v>
      </c>
      <c r="BA3" s="7" t="e">
        <f>IF(個体表[[#This Row],[耐久力_pr]]="","",(個体表[[#This Row],[耐久力_pr]]-個体表[[#This Row],[耐久力]])/個体表[[#This Row],[耐久力]])</f>
        <v>#N/A</v>
      </c>
      <c r="BB3" s="484"/>
      <c r="BC3" s="484"/>
      <c r="BD3" s="10"/>
      <c r="BE3" s="64"/>
      <c r="BF3" s="9"/>
      <c r="BG3" s="7" t="str">
        <f>IF(個体表[[#This Row],[ダメージ_prgn]]="","",(個体表[[#This Row],[ダメージ_prgn]]-個体表[[#This Row],[ダメージ_gn]])/個体表[[#This Row],[ダメージ_gn]])</f>
        <v/>
      </c>
      <c r="BH3" s="8"/>
      <c r="BI3" s="7" t="str">
        <f>IF(個体表[[#This Row],[tDPS_prgn]]="","",(個体表[[#This Row],[tDPS_prgn]]-個体表[[#This Row],[tDPS_gn]])/個体表[[#This Row],[tDPS_gn]])</f>
        <v/>
      </c>
      <c r="BJ3" s="487"/>
      <c r="BK3" s="9"/>
      <c r="BL3" s="7" t="str">
        <f>IF(個体表[[#This Row],[ダメージ_prgs]]="","",(個体表[[#This Row],[ダメージ_prgs]]-個体表[[#This Row],[ダメージ_gs1]])/個体表[[#This Row],[ダメージ_gs1]])</f>
        <v/>
      </c>
      <c r="BM3" s="9"/>
      <c r="BN3" s="7" t="str">
        <f>IF(個体表[[#This Row],[tDPS_prgs]]="","",(個体表[[#This Row],[tDPS_prgs]]-個体表[[#This Row],[tDPS_gs1]])/個体表[[#This Row],[tDPS_gs1]])</f>
        <v/>
      </c>
      <c r="BO3" s="486"/>
      <c r="BP3" s="487"/>
      <c r="BQ3" s="9"/>
      <c r="BR3" s="7" t="str">
        <f>IF(個体表[[#This Row],[cDPS_prg]]="","",(個体表[[#This Row],[cDPS_prg]]-MAX(個体表[[#This Row],[cDPS_gs1]],個体表[[#This Row],[cDPS_gs2]]))/MAX(個体表[[#This Row],[cDPS_gs1]],個体表[[#This Row],[cDPS_gs2]]))</f>
        <v/>
      </c>
      <c r="BS3" s="7"/>
      <c r="BT3" s="486"/>
      <c r="BU3" s="8"/>
      <c r="BV3" s="7" t="str">
        <f>IF(個体表[[#This Row],[ダメージ_prmn]]="","",(個体表[[#This Row],[ダメージ_prmn]]-個体表[[#This Row],[ダメージ_mn]])/個体表[[#This Row],[ダメージ_mn]])</f>
        <v/>
      </c>
      <c r="BW3" s="9"/>
      <c r="BX3" s="7" t="str">
        <f>IF(個体表[[#This Row],[tDPT_prmn]]="","",(個体表[[#This Row],[tDPT_prmn]]-個体表[[#This Row],[tDPT_mn]])/個体表[[#This Row],[tDPT_mn]])</f>
        <v/>
      </c>
      <c r="BY3" s="487"/>
      <c r="BZ3" s="8"/>
      <c r="CA3" s="7" t="str">
        <f>IF(個体表[[#This Row],[ダメージ_prms]]="","",(個体表[[#This Row],[ダメージ_prms]]-個体表[[#This Row],[ダメージ_ms1]])/個体表[[#This Row],[ダメージ_ms1]])</f>
        <v/>
      </c>
      <c r="CB3" s="486"/>
      <c r="CC3" s="487"/>
      <c r="CD3" s="8"/>
      <c r="CE3" s="7" t="str">
        <f>IF(個体表[[#This Row],[cDPT_prm]]="","",(個体表[[#This Row],[cDPT_prm]]-MAX(個体表[[#This Row],[cDPT_ms1]],個体表[[#This Row],[cDPT_ms2]]))/MAX(個体表[[#This Row],[cDPT_ms1]],個体表[[#This Row],[cDPT_ms2]]))</f>
        <v/>
      </c>
      <c r="CF3" s="1"/>
      <c r="CG3" s="1"/>
      <c r="CH3" s="1"/>
    </row>
    <row r="4" spans="1:86" x14ac:dyDescent="0.45">
      <c r="CG4" s="1"/>
      <c r="CH4" s="1"/>
    </row>
    <row r="5" spans="1:86" x14ac:dyDescent="0.45">
      <c r="CG5" s="1"/>
      <c r="CH5" s="1"/>
    </row>
    <row r="6" spans="1:86" x14ac:dyDescent="0.45">
      <c r="CG6" s="1"/>
      <c r="CH6" s="1"/>
    </row>
    <row r="7" spans="1:86" x14ac:dyDescent="0.45">
      <c r="CG7" s="1"/>
      <c r="CH7" s="1"/>
    </row>
    <row r="8" spans="1:86" x14ac:dyDescent="0.45">
      <c r="CG8" s="1"/>
      <c r="CH8" s="1"/>
    </row>
    <row r="9" spans="1:86" x14ac:dyDescent="0.45">
      <c r="CG9" s="1"/>
      <c r="CH9" s="1"/>
    </row>
    <row r="10" spans="1:86" x14ac:dyDescent="0.45">
      <c r="CG10" s="1"/>
      <c r="CH10" s="1"/>
    </row>
    <row r="11" spans="1:86" x14ac:dyDescent="0.45">
      <c r="CG11" s="1"/>
      <c r="CH11" s="1"/>
    </row>
    <row r="12" spans="1:86" x14ac:dyDescent="0.45">
      <c r="CG12" s="1"/>
      <c r="CH12" s="1"/>
    </row>
    <row r="13" spans="1:86" x14ac:dyDescent="0.45">
      <c r="CG13" s="1"/>
      <c r="CH13" s="1"/>
    </row>
    <row r="14" spans="1:86" x14ac:dyDescent="0.45">
      <c r="CG14" s="1"/>
      <c r="CH14" s="1"/>
    </row>
    <row r="15" spans="1:86" x14ac:dyDescent="0.45">
      <c r="CG15" s="1"/>
      <c r="CH15" s="1"/>
    </row>
    <row r="16" spans="1:86" x14ac:dyDescent="0.45">
      <c r="CG16" s="1"/>
      <c r="CH16" s="1"/>
    </row>
    <row r="17" spans="85:86" x14ac:dyDescent="0.45">
      <c r="CG17" s="1"/>
      <c r="CH17" s="1"/>
    </row>
    <row r="18" spans="85:86" x14ac:dyDescent="0.45">
      <c r="CG18" s="1"/>
      <c r="CH18" s="1"/>
    </row>
    <row r="19" spans="85:86" x14ac:dyDescent="0.45">
      <c r="CG19" s="1"/>
      <c r="CH19" s="1"/>
    </row>
    <row r="20" spans="85:86" x14ac:dyDescent="0.45">
      <c r="CG20" s="1"/>
      <c r="CH20" s="1"/>
    </row>
    <row r="21" spans="85:86" x14ac:dyDescent="0.45">
      <c r="CG21" s="1"/>
      <c r="CH21" s="1"/>
    </row>
    <row r="22" spans="85:86" x14ac:dyDescent="0.45">
      <c r="CG22" s="1"/>
      <c r="CH22" s="1"/>
    </row>
    <row r="23" spans="85:86" x14ac:dyDescent="0.45">
      <c r="CG23" s="1"/>
      <c r="CH23" s="1"/>
    </row>
    <row r="24" spans="85:86" x14ac:dyDescent="0.45">
      <c r="CG24" s="1"/>
      <c r="CH24" s="1"/>
    </row>
    <row r="25" spans="85:86" x14ac:dyDescent="0.45">
      <c r="CG25" s="1"/>
      <c r="CH25" s="1"/>
    </row>
    <row r="26" spans="85:86" x14ac:dyDescent="0.45">
      <c r="CG26" s="1"/>
      <c r="CH26" s="1"/>
    </row>
    <row r="27" spans="85:86" x14ac:dyDescent="0.45">
      <c r="CG27" s="1"/>
      <c r="CH27" s="1"/>
    </row>
    <row r="28" spans="85:86" x14ac:dyDescent="0.45">
      <c r="CG28" s="1"/>
      <c r="CH28" s="1"/>
    </row>
    <row r="29" spans="85:86" x14ac:dyDescent="0.45">
      <c r="CG29" s="1"/>
      <c r="CH29" s="1"/>
    </row>
    <row r="30" spans="85:86" x14ac:dyDescent="0.45">
      <c r="CG30" s="1"/>
      <c r="CH30" s="1"/>
    </row>
    <row r="31" spans="85:86" x14ac:dyDescent="0.45">
      <c r="CG31" s="1"/>
      <c r="CH31" s="1"/>
    </row>
    <row r="32" spans="85:86" x14ac:dyDescent="0.45">
      <c r="CG32" s="1"/>
      <c r="CH32" s="1"/>
    </row>
    <row r="33" spans="85:86" x14ac:dyDescent="0.45">
      <c r="CG33" s="1"/>
      <c r="CH33" s="1"/>
    </row>
    <row r="34" spans="85:86" x14ac:dyDescent="0.45">
      <c r="CG34" s="1"/>
      <c r="CH34" s="1"/>
    </row>
    <row r="35" spans="85:86" x14ac:dyDescent="0.45">
      <c r="CG35" s="1"/>
      <c r="CH35" s="1"/>
    </row>
    <row r="36" spans="85:86" x14ac:dyDescent="0.45">
      <c r="CG36" s="1"/>
      <c r="CH36" s="1"/>
    </row>
    <row r="37" spans="85:86" x14ac:dyDescent="0.45">
      <c r="CG37" s="1"/>
      <c r="CH37" s="1"/>
    </row>
    <row r="38" spans="85:86" x14ac:dyDescent="0.45">
      <c r="CG38" s="1"/>
      <c r="CH38" s="1"/>
    </row>
    <row r="39" spans="85:86" x14ac:dyDescent="0.45">
      <c r="CG39" s="1"/>
      <c r="CH39" s="1"/>
    </row>
    <row r="40" spans="85:86" x14ac:dyDescent="0.45">
      <c r="CG40" s="1"/>
      <c r="CH40" s="1"/>
    </row>
    <row r="41" spans="85:86" x14ac:dyDescent="0.45">
      <c r="CG41" s="1"/>
      <c r="CH41" s="1"/>
    </row>
    <row r="42" spans="85:86" x14ac:dyDescent="0.45">
      <c r="CG42" s="1"/>
      <c r="CH42" s="1"/>
    </row>
    <row r="43" spans="85:86" x14ac:dyDescent="0.45">
      <c r="CG43" s="1"/>
      <c r="CH43" s="1"/>
    </row>
    <row r="44" spans="85:86" x14ac:dyDescent="0.45">
      <c r="CG44" s="1"/>
      <c r="CH44" s="1"/>
    </row>
    <row r="45" spans="85:86" x14ac:dyDescent="0.45">
      <c r="CG45" s="1"/>
      <c r="CH45" s="1"/>
    </row>
    <row r="46" spans="85:86" x14ac:dyDescent="0.45">
      <c r="CG46" s="1"/>
      <c r="CH46" s="1"/>
    </row>
    <row r="47" spans="85:86" x14ac:dyDescent="0.45">
      <c r="CG47" s="1"/>
      <c r="CH47" s="1"/>
    </row>
    <row r="48" spans="85:86" x14ac:dyDescent="0.45">
      <c r="CG48" s="1"/>
      <c r="CH48" s="1"/>
    </row>
    <row r="49" spans="85:86" x14ac:dyDescent="0.45">
      <c r="CG49" s="1"/>
      <c r="CH49" s="1"/>
    </row>
    <row r="50" spans="85:86" x14ac:dyDescent="0.45">
      <c r="CG50" s="1"/>
      <c r="CH50" s="1"/>
    </row>
    <row r="51" spans="85:86" x14ac:dyDescent="0.45">
      <c r="CG51" s="1"/>
      <c r="CH51" s="1"/>
    </row>
    <row r="52" spans="85:86" x14ac:dyDescent="0.45">
      <c r="CG52" s="1"/>
      <c r="CH52" s="1"/>
    </row>
    <row r="53" spans="85:86" x14ac:dyDescent="0.45">
      <c r="CG53" s="1"/>
      <c r="CH53" s="1"/>
    </row>
    <row r="54" spans="85:86" x14ac:dyDescent="0.45">
      <c r="CG54" s="1"/>
      <c r="CH54" s="1"/>
    </row>
    <row r="55" spans="85:86" x14ac:dyDescent="0.45">
      <c r="CG55" s="1"/>
      <c r="CH55" s="1"/>
    </row>
    <row r="56" spans="85:86" x14ac:dyDescent="0.45">
      <c r="CG56" s="1"/>
      <c r="CH56" s="1"/>
    </row>
    <row r="57" spans="85:86" x14ac:dyDescent="0.45">
      <c r="CG57" s="1"/>
      <c r="CH57" s="1"/>
    </row>
    <row r="58" spans="85:86" x14ac:dyDescent="0.45">
      <c r="CG58" s="1"/>
      <c r="CH58" s="1"/>
    </row>
    <row r="59" spans="85:86" x14ac:dyDescent="0.45">
      <c r="CG59" s="1"/>
      <c r="CH59" s="1"/>
    </row>
    <row r="60" spans="85:86" x14ac:dyDescent="0.45">
      <c r="CG60" s="1"/>
      <c r="CH60" s="1"/>
    </row>
    <row r="61" spans="85:86" x14ac:dyDescent="0.45">
      <c r="CG61" s="1"/>
      <c r="CH61" s="1"/>
    </row>
    <row r="62" spans="85:86" x14ac:dyDescent="0.45">
      <c r="CG62" s="1"/>
      <c r="CH62" s="1"/>
    </row>
    <row r="63" spans="85:86" x14ac:dyDescent="0.45">
      <c r="CG63" s="1"/>
      <c r="CH63" s="1"/>
    </row>
    <row r="64" spans="85:86" x14ac:dyDescent="0.45">
      <c r="CG64" s="1"/>
      <c r="CH64" s="1"/>
    </row>
    <row r="65" spans="85:86" x14ac:dyDescent="0.45">
      <c r="CG65" s="1"/>
      <c r="CH65" s="1"/>
    </row>
    <row r="66" spans="85:86" x14ac:dyDescent="0.45">
      <c r="CG66" s="1"/>
      <c r="CH66" s="1"/>
    </row>
    <row r="67" spans="85:86" x14ac:dyDescent="0.45">
      <c r="CG67" s="1"/>
      <c r="CH67" s="1"/>
    </row>
    <row r="68" spans="85:86" x14ac:dyDescent="0.45">
      <c r="CG68" s="1"/>
      <c r="CH68" s="1"/>
    </row>
    <row r="69" spans="85:86" x14ac:dyDescent="0.45">
      <c r="CG69" s="1"/>
      <c r="CH69" s="1"/>
    </row>
    <row r="70" spans="85:86" x14ac:dyDescent="0.45">
      <c r="CG70" s="1"/>
      <c r="CH70" s="1"/>
    </row>
    <row r="71" spans="85:86" x14ac:dyDescent="0.45">
      <c r="CG71" s="1"/>
      <c r="CH71" s="1"/>
    </row>
    <row r="72" spans="85:86" x14ac:dyDescent="0.45">
      <c r="CG72" s="1"/>
      <c r="CH72" s="1"/>
    </row>
    <row r="73" spans="85:86" x14ac:dyDescent="0.45">
      <c r="CG73" s="1"/>
      <c r="CH73" s="1"/>
    </row>
    <row r="74" spans="85:86" x14ac:dyDescent="0.45">
      <c r="CG74" s="1"/>
      <c r="CH74" s="1"/>
    </row>
    <row r="75" spans="85:86" x14ac:dyDescent="0.45">
      <c r="CG75" s="1"/>
      <c r="CH75" s="1"/>
    </row>
    <row r="76" spans="85:86" x14ac:dyDescent="0.45">
      <c r="CG76" s="1"/>
      <c r="CH76" s="1"/>
    </row>
    <row r="77" spans="85:86" x14ac:dyDescent="0.45">
      <c r="CG77" s="1"/>
      <c r="CH77" s="1"/>
    </row>
    <row r="78" spans="85:86" x14ac:dyDescent="0.45">
      <c r="CG78" s="1"/>
      <c r="CH78" s="1"/>
    </row>
    <row r="79" spans="85:86" x14ac:dyDescent="0.45">
      <c r="CG79" s="1"/>
      <c r="CH79" s="1"/>
    </row>
    <row r="80" spans="85:86" x14ac:dyDescent="0.45">
      <c r="CG80" s="1"/>
      <c r="CH80" s="1"/>
    </row>
    <row r="81" spans="85:86" x14ac:dyDescent="0.45">
      <c r="CG81" s="1"/>
      <c r="CH81" s="1"/>
    </row>
    <row r="82" spans="85:86" x14ac:dyDescent="0.45">
      <c r="CG82" s="1"/>
      <c r="CH82" s="1"/>
    </row>
    <row r="83" spans="85:86" x14ac:dyDescent="0.45">
      <c r="CG83" s="1"/>
      <c r="CH83" s="1"/>
    </row>
    <row r="84" spans="85:86" x14ac:dyDescent="0.45">
      <c r="CG84" s="1"/>
      <c r="CH84" s="1"/>
    </row>
    <row r="85" spans="85:86" x14ac:dyDescent="0.45">
      <c r="CG85" s="1"/>
      <c r="CH85" s="1"/>
    </row>
    <row r="86" spans="85:86" x14ac:dyDescent="0.45">
      <c r="CG86" s="1"/>
      <c r="CH86" s="1"/>
    </row>
    <row r="87" spans="85:86" x14ac:dyDescent="0.45">
      <c r="CG87" s="1"/>
      <c r="CH87" s="1"/>
    </row>
    <row r="88" spans="85:86" x14ac:dyDescent="0.45">
      <c r="CG88" s="1"/>
      <c r="CH88" s="1"/>
    </row>
    <row r="89" spans="85:86" x14ac:dyDescent="0.45">
      <c r="CG89" s="1"/>
      <c r="CH89" s="1"/>
    </row>
    <row r="90" spans="85:86" x14ac:dyDescent="0.45">
      <c r="CG90" s="1"/>
      <c r="CH90" s="1"/>
    </row>
    <row r="91" spans="85:86" x14ac:dyDescent="0.45">
      <c r="CG91" s="1"/>
      <c r="CH91" s="1"/>
    </row>
    <row r="92" spans="85:86" x14ac:dyDescent="0.45">
      <c r="CG92" s="1"/>
      <c r="CH92" s="1"/>
    </row>
    <row r="93" spans="85:86" x14ac:dyDescent="0.45">
      <c r="CG93" s="1"/>
      <c r="CH93" s="1"/>
    </row>
    <row r="94" spans="85:86" x14ac:dyDescent="0.45">
      <c r="CG94" s="1"/>
      <c r="CH94" s="1"/>
    </row>
    <row r="95" spans="85:86" x14ac:dyDescent="0.45">
      <c r="CG95" s="1"/>
      <c r="CH95" s="1"/>
    </row>
    <row r="96" spans="85:86" x14ac:dyDescent="0.45">
      <c r="CG96" s="1"/>
      <c r="CH96" s="1"/>
    </row>
    <row r="97" spans="85:86" x14ac:dyDescent="0.45">
      <c r="CG97" s="1"/>
      <c r="CH97" s="1"/>
    </row>
    <row r="98" spans="85:86" x14ac:dyDescent="0.45">
      <c r="CG98" s="1"/>
      <c r="CH98" s="1"/>
    </row>
    <row r="99" spans="85:86" x14ac:dyDescent="0.45">
      <c r="CG99" s="1"/>
      <c r="CH99" s="1"/>
    </row>
    <row r="100" spans="85:86" x14ac:dyDescent="0.45">
      <c r="CG100" s="1"/>
      <c r="CH100" s="1"/>
    </row>
    <row r="101" spans="85:86" x14ac:dyDescent="0.45">
      <c r="CG101" s="1"/>
      <c r="CH101" s="1"/>
    </row>
    <row r="102" spans="85:86" x14ac:dyDescent="0.45">
      <c r="CG102" s="1"/>
      <c r="CH102" s="1"/>
    </row>
    <row r="103" spans="85:86" x14ac:dyDescent="0.45">
      <c r="CG103" s="1"/>
      <c r="CH103" s="1"/>
    </row>
    <row r="104" spans="85:86" x14ac:dyDescent="0.45">
      <c r="CG104" s="1"/>
      <c r="CH104" s="1"/>
    </row>
    <row r="105" spans="85:86" x14ac:dyDescent="0.45">
      <c r="CG105" s="1"/>
      <c r="CH105" s="1"/>
    </row>
    <row r="106" spans="85:86" x14ac:dyDescent="0.45">
      <c r="CG106" s="1"/>
      <c r="CH106" s="1"/>
    </row>
    <row r="107" spans="85:86" x14ac:dyDescent="0.45">
      <c r="CG107" s="1"/>
      <c r="CH107" s="1"/>
    </row>
    <row r="108" spans="85:86" x14ac:dyDescent="0.45">
      <c r="CG108" s="1"/>
      <c r="CH108" s="1"/>
    </row>
    <row r="109" spans="85:86" x14ac:dyDescent="0.45">
      <c r="CG109" s="1"/>
      <c r="CH109" s="1"/>
    </row>
    <row r="110" spans="85:86" x14ac:dyDescent="0.45">
      <c r="CG110" s="1"/>
      <c r="CH110" s="1"/>
    </row>
    <row r="111" spans="85:86" x14ac:dyDescent="0.45">
      <c r="CG111" s="1"/>
      <c r="CH111" s="1"/>
    </row>
    <row r="112" spans="85:86" x14ac:dyDescent="0.45">
      <c r="CG112" s="1"/>
      <c r="CH112" s="1"/>
    </row>
    <row r="113" spans="85:86" x14ac:dyDescent="0.45">
      <c r="CG113" s="1"/>
      <c r="CH113" s="1"/>
    </row>
    <row r="114" spans="85:86" x14ac:dyDescent="0.45">
      <c r="CG114" s="1"/>
      <c r="CH114" s="1"/>
    </row>
    <row r="115" spans="85:86" x14ac:dyDescent="0.45">
      <c r="CG115" s="1"/>
      <c r="CH115" s="1"/>
    </row>
    <row r="116" spans="85:86" x14ac:dyDescent="0.45">
      <c r="CG116" s="1"/>
      <c r="CH116" s="1"/>
    </row>
    <row r="117" spans="85:86" x14ac:dyDescent="0.45">
      <c r="CG117" s="1"/>
      <c r="CH117" s="1"/>
    </row>
    <row r="118" spans="85:86" x14ac:dyDescent="0.45">
      <c r="CG118" s="1"/>
      <c r="CH118" s="1"/>
    </row>
    <row r="119" spans="85:86" x14ac:dyDescent="0.45">
      <c r="CG119" s="1"/>
      <c r="CH119" s="1"/>
    </row>
    <row r="120" spans="85:86" x14ac:dyDescent="0.45">
      <c r="CG120" s="1"/>
      <c r="CH120" s="1"/>
    </row>
    <row r="121" spans="85:86" x14ac:dyDescent="0.45">
      <c r="CG121" s="1"/>
      <c r="CH121" s="1"/>
    </row>
    <row r="122" spans="85:86" x14ac:dyDescent="0.45">
      <c r="CG122" s="1"/>
      <c r="CH122" s="1"/>
    </row>
    <row r="123" spans="85:86" x14ac:dyDescent="0.45">
      <c r="CG123" s="1"/>
      <c r="CH123" s="1"/>
    </row>
    <row r="124" spans="85:86" x14ac:dyDescent="0.45">
      <c r="CG124" s="1"/>
      <c r="CH124" s="1"/>
    </row>
    <row r="125" spans="85:86" x14ac:dyDescent="0.45">
      <c r="CG125" s="1"/>
      <c r="CH125" s="1"/>
    </row>
    <row r="126" spans="85:86" x14ac:dyDescent="0.45">
      <c r="CG126" s="1"/>
      <c r="CH126" s="1"/>
    </row>
    <row r="127" spans="85:86" x14ac:dyDescent="0.45">
      <c r="CG127" s="1"/>
      <c r="CH127" s="1"/>
    </row>
    <row r="128" spans="85:86" x14ac:dyDescent="0.45">
      <c r="CG128" s="1"/>
      <c r="CH128" s="1"/>
    </row>
    <row r="129" spans="85:86" x14ac:dyDescent="0.45">
      <c r="CG129" s="1"/>
      <c r="CH129" s="1"/>
    </row>
    <row r="130" spans="85:86" x14ac:dyDescent="0.45">
      <c r="CG130" s="1"/>
      <c r="CH130" s="1"/>
    </row>
    <row r="131" spans="85:86" x14ac:dyDescent="0.45">
      <c r="CG131" s="1"/>
      <c r="CH131" s="1"/>
    </row>
    <row r="132" spans="85:86" x14ac:dyDescent="0.45">
      <c r="CG132" s="1"/>
      <c r="CH132" s="1"/>
    </row>
    <row r="133" spans="85:86" x14ac:dyDescent="0.45">
      <c r="CG133" s="1"/>
      <c r="CH133" s="1"/>
    </row>
    <row r="134" spans="85:86" x14ac:dyDescent="0.45">
      <c r="CG134" s="1"/>
      <c r="CH134" s="1"/>
    </row>
    <row r="135" spans="85:86" x14ac:dyDescent="0.45">
      <c r="CG135" s="1"/>
      <c r="CH135" s="1"/>
    </row>
    <row r="136" spans="85:86" x14ac:dyDescent="0.45">
      <c r="CG136" s="1"/>
      <c r="CH136" s="1"/>
    </row>
    <row r="137" spans="85:86" x14ac:dyDescent="0.45">
      <c r="CG137" s="1"/>
      <c r="CH137" s="1"/>
    </row>
    <row r="138" spans="85:86" x14ac:dyDescent="0.45">
      <c r="CG138" s="1"/>
      <c r="CH138" s="1"/>
    </row>
    <row r="139" spans="85:86" x14ac:dyDescent="0.45">
      <c r="CG139" s="1"/>
      <c r="CH139" s="1"/>
    </row>
    <row r="140" spans="85:86" x14ac:dyDescent="0.45">
      <c r="CG140" s="1"/>
      <c r="CH140" s="1"/>
    </row>
    <row r="141" spans="85:86" x14ac:dyDescent="0.45">
      <c r="CG141" s="1"/>
      <c r="CH141" s="1"/>
    </row>
    <row r="142" spans="85:86" x14ac:dyDescent="0.45">
      <c r="CG142" s="1"/>
      <c r="CH142" s="1"/>
    </row>
    <row r="143" spans="85:86" x14ac:dyDescent="0.45">
      <c r="CG143" s="1"/>
      <c r="CH143" s="1"/>
    </row>
    <row r="144" spans="85:86" x14ac:dyDescent="0.45">
      <c r="CG144" s="1"/>
      <c r="CH144" s="1"/>
    </row>
    <row r="145" spans="85:86" x14ac:dyDescent="0.45">
      <c r="CG145" s="1"/>
      <c r="CH145" s="1"/>
    </row>
    <row r="146" spans="85:86" x14ac:dyDescent="0.45">
      <c r="CG146" s="1"/>
      <c r="CH146" s="1"/>
    </row>
    <row r="147" spans="85:86" x14ac:dyDescent="0.45">
      <c r="CG147" s="1"/>
      <c r="CH147" s="1"/>
    </row>
    <row r="148" spans="85:86" x14ac:dyDescent="0.45">
      <c r="CG148" s="1"/>
      <c r="CH148" s="1"/>
    </row>
    <row r="149" spans="85:86" x14ac:dyDescent="0.45">
      <c r="CG149" s="1"/>
      <c r="CH149" s="1"/>
    </row>
    <row r="150" spans="85:86" x14ac:dyDescent="0.45">
      <c r="CG150" s="1"/>
      <c r="CH150" s="1"/>
    </row>
    <row r="151" spans="85:86" x14ac:dyDescent="0.45">
      <c r="CG151" s="1"/>
      <c r="CH151" s="1"/>
    </row>
    <row r="152" spans="85:86" x14ac:dyDescent="0.45">
      <c r="CG152" s="1"/>
      <c r="CH152" s="1"/>
    </row>
    <row r="153" spans="85:86" x14ac:dyDescent="0.45">
      <c r="CG153" s="1"/>
      <c r="CH153" s="1"/>
    </row>
    <row r="154" spans="85:86" x14ac:dyDescent="0.45">
      <c r="CG154" s="1"/>
      <c r="CH154" s="1"/>
    </row>
    <row r="155" spans="85:86" x14ac:dyDescent="0.45">
      <c r="CG155" s="1"/>
      <c r="CH155" s="1"/>
    </row>
    <row r="156" spans="85:86" x14ac:dyDescent="0.45">
      <c r="CG156" s="1"/>
      <c r="CH156" s="1"/>
    </row>
    <row r="157" spans="85:86" x14ac:dyDescent="0.45">
      <c r="CG157" s="1"/>
      <c r="CH157" s="1"/>
    </row>
    <row r="158" spans="85:86" x14ac:dyDescent="0.45">
      <c r="CG158" s="1"/>
      <c r="CH158" s="1"/>
    </row>
    <row r="159" spans="85:86" x14ac:dyDescent="0.45">
      <c r="CG159" s="1"/>
      <c r="CH159" s="1"/>
    </row>
    <row r="160" spans="85:86" x14ac:dyDescent="0.45">
      <c r="CG160" s="1"/>
      <c r="CH160" s="1"/>
    </row>
    <row r="161" spans="85:86" x14ac:dyDescent="0.45">
      <c r="CG161" s="1"/>
      <c r="CH161" s="1"/>
    </row>
    <row r="162" spans="85:86" x14ac:dyDescent="0.45">
      <c r="CG162" s="1"/>
      <c r="CH162" s="1"/>
    </row>
    <row r="163" spans="85:86" x14ac:dyDescent="0.45">
      <c r="CG163" s="1"/>
      <c r="CH163" s="1"/>
    </row>
    <row r="164" spans="85:86" x14ac:dyDescent="0.45">
      <c r="CG164" s="1"/>
      <c r="CH164" s="1"/>
    </row>
    <row r="165" spans="85:86" x14ac:dyDescent="0.45">
      <c r="CG165" s="1"/>
      <c r="CH165" s="1"/>
    </row>
    <row r="166" spans="85:86" x14ac:dyDescent="0.45">
      <c r="CG166" s="1"/>
      <c r="CH166" s="1"/>
    </row>
    <row r="167" spans="85:86" x14ac:dyDescent="0.45">
      <c r="CG167" s="1"/>
      <c r="CH167" s="1"/>
    </row>
    <row r="168" spans="85:86" x14ac:dyDescent="0.45">
      <c r="CG168" s="1"/>
      <c r="CH168" s="1"/>
    </row>
    <row r="169" spans="85:86" x14ac:dyDescent="0.45">
      <c r="CG169" s="1"/>
      <c r="CH169" s="1"/>
    </row>
    <row r="170" spans="85:86" x14ac:dyDescent="0.45">
      <c r="CG170" s="1"/>
      <c r="CH170" s="1"/>
    </row>
    <row r="171" spans="85:86" x14ac:dyDescent="0.45">
      <c r="CG171" s="1"/>
      <c r="CH171" s="1"/>
    </row>
    <row r="172" spans="85:86" x14ac:dyDescent="0.45">
      <c r="CG172" s="1"/>
      <c r="CH172" s="1"/>
    </row>
    <row r="173" spans="85:86" x14ac:dyDescent="0.45">
      <c r="CG173" s="1"/>
      <c r="CH173" s="1"/>
    </row>
    <row r="174" spans="85:86" x14ac:dyDescent="0.45">
      <c r="CG174" s="1"/>
      <c r="CH174" s="1"/>
    </row>
    <row r="175" spans="85:86" x14ac:dyDescent="0.45">
      <c r="CG175" s="1"/>
      <c r="CH175" s="1"/>
    </row>
    <row r="176" spans="85:86" x14ac:dyDescent="0.45">
      <c r="CG176" s="1"/>
      <c r="CH176" s="1"/>
    </row>
    <row r="177" spans="85:86" x14ac:dyDescent="0.45">
      <c r="CG177" s="1"/>
      <c r="CH177" s="1"/>
    </row>
    <row r="178" spans="85:86" x14ac:dyDescent="0.45">
      <c r="CG178" s="1"/>
      <c r="CH178" s="1"/>
    </row>
    <row r="179" spans="85:86" x14ac:dyDescent="0.45">
      <c r="CG179" s="1"/>
      <c r="CH179" s="1"/>
    </row>
    <row r="180" spans="85:86" x14ac:dyDescent="0.45">
      <c r="CG180" s="1"/>
      <c r="CH180" s="1"/>
    </row>
    <row r="181" spans="85:86" x14ac:dyDescent="0.45">
      <c r="CG181" s="1"/>
      <c r="CH181" s="1"/>
    </row>
    <row r="182" spans="85:86" x14ac:dyDescent="0.45">
      <c r="CG182" s="1"/>
      <c r="CH182" s="1"/>
    </row>
    <row r="183" spans="85:86" x14ac:dyDescent="0.45">
      <c r="CG183" s="1"/>
      <c r="CH183" s="1"/>
    </row>
    <row r="184" spans="85:86" x14ac:dyDescent="0.45">
      <c r="CG184" s="1"/>
      <c r="CH184" s="1"/>
    </row>
    <row r="185" spans="85:86" x14ac:dyDescent="0.45">
      <c r="CG185" s="1"/>
      <c r="CH185" s="1"/>
    </row>
    <row r="186" spans="85:86" x14ac:dyDescent="0.45">
      <c r="CG186" s="1"/>
      <c r="CH186" s="1"/>
    </row>
    <row r="187" spans="85:86" x14ac:dyDescent="0.45">
      <c r="CG187" s="1"/>
      <c r="CH187" s="1"/>
    </row>
    <row r="188" spans="85:86" x14ac:dyDescent="0.45">
      <c r="CG188" s="1"/>
      <c r="CH188" s="1"/>
    </row>
    <row r="189" spans="85:86" x14ac:dyDescent="0.45">
      <c r="CG189" s="1"/>
      <c r="CH189" s="1"/>
    </row>
    <row r="190" spans="85:86" x14ac:dyDescent="0.45">
      <c r="CG190" s="1"/>
      <c r="CH190" s="1"/>
    </row>
    <row r="191" spans="85:86" x14ac:dyDescent="0.45">
      <c r="CG191" s="1"/>
      <c r="CH191" s="1"/>
    </row>
    <row r="192" spans="85:86" x14ac:dyDescent="0.45">
      <c r="CG192" s="1"/>
      <c r="CH192" s="1"/>
    </row>
    <row r="193" spans="85:86" x14ac:dyDescent="0.45">
      <c r="CG193" s="1"/>
      <c r="CH193" s="1"/>
    </row>
    <row r="194" spans="85:86" x14ac:dyDescent="0.45">
      <c r="CG194" s="1"/>
      <c r="CH194" s="1"/>
    </row>
    <row r="195" spans="85:86" x14ac:dyDescent="0.45">
      <c r="CG195" s="1"/>
      <c r="CH195" s="1"/>
    </row>
    <row r="196" spans="85:86" x14ac:dyDescent="0.45">
      <c r="CG196" s="1"/>
      <c r="CH196" s="1"/>
    </row>
    <row r="197" spans="85:86" x14ac:dyDescent="0.45">
      <c r="CG197" s="1"/>
      <c r="CH197" s="1"/>
    </row>
    <row r="198" spans="85:86" x14ac:dyDescent="0.45">
      <c r="CG198" s="1"/>
      <c r="CH198" s="1"/>
    </row>
    <row r="199" spans="85:86" x14ac:dyDescent="0.45">
      <c r="CG199" s="1"/>
      <c r="CH199" s="1"/>
    </row>
    <row r="200" spans="85:86" x14ac:dyDescent="0.45">
      <c r="CG200" s="1"/>
      <c r="CH200" s="1"/>
    </row>
    <row r="201" spans="85:86" x14ac:dyDescent="0.45">
      <c r="CG201" s="1"/>
      <c r="CH201" s="1"/>
    </row>
    <row r="202" spans="85:86" x14ac:dyDescent="0.45">
      <c r="CG202" s="1"/>
      <c r="CH202" s="1"/>
    </row>
    <row r="203" spans="85:86" x14ac:dyDescent="0.45">
      <c r="CG203" s="1"/>
      <c r="CH203" s="1"/>
    </row>
    <row r="204" spans="85:86" x14ac:dyDescent="0.45">
      <c r="CG204" s="1"/>
      <c r="CH204" s="1"/>
    </row>
    <row r="205" spans="85:86" x14ac:dyDescent="0.45">
      <c r="CG205" s="1"/>
      <c r="CH205" s="1"/>
    </row>
    <row r="206" spans="85:86" x14ac:dyDescent="0.45">
      <c r="CG206" s="1"/>
      <c r="CH206" s="1"/>
    </row>
    <row r="207" spans="85:86" x14ac:dyDescent="0.45">
      <c r="CG207" s="1"/>
      <c r="CH207" s="1"/>
    </row>
    <row r="208" spans="85:86" x14ac:dyDescent="0.45">
      <c r="CG208" s="1"/>
      <c r="CH208" s="1"/>
    </row>
    <row r="209" spans="85:86" x14ac:dyDescent="0.45">
      <c r="CG209" s="1"/>
      <c r="CH209" s="1"/>
    </row>
    <row r="210" spans="85:86" x14ac:dyDescent="0.45">
      <c r="CG210" s="1"/>
      <c r="CH210" s="1"/>
    </row>
    <row r="211" spans="85:86" x14ac:dyDescent="0.45">
      <c r="CG211" s="1"/>
      <c r="CH211" s="1"/>
    </row>
    <row r="212" spans="85:86" x14ac:dyDescent="0.45">
      <c r="CG212" s="1"/>
      <c r="CH212" s="1"/>
    </row>
    <row r="213" spans="85:86" x14ac:dyDescent="0.45">
      <c r="CG213" s="1"/>
      <c r="CH213" s="1"/>
    </row>
    <row r="214" spans="85:86" x14ac:dyDescent="0.45">
      <c r="CG214" s="1"/>
      <c r="CH214" s="1"/>
    </row>
    <row r="215" spans="85:86" x14ac:dyDescent="0.45">
      <c r="CG215" s="1"/>
      <c r="CH215" s="1"/>
    </row>
    <row r="216" spans="85:86" x14ac:dyDescent="0.45">
      <c r="CG216" s="1"/>
      <c r="CH216" s="1"/>
    </row>
    <row r="217" spans="85:86" x14ac:dyDescent="0.45">
      <c r="CG217" s="1"/>
      <c r="CH217" s="1"/>
    </row>
    <row r="218" spans="85:86" x14ac:dyDescent="0.45">
      <c r="CG218" s="1"/>
      <c r="CH218" s="1"/>
    </row>
    <row r="219" spans="85:86" x14ac:dyDescent="0.45">
      <c r="CG219" s="1"/>
      <c r="CH219" s="1"/>
    </row>
    <row r="220" spans="85:86" x14ac:dyDescent="0.45">
      <c r="CG220" s="1"/>
      <c r="CH220" s="1"/>
    </row>
    <row r="221" spans="85:86" x14ac:dyDescent="0.45">
      <c r="CG221" s="1"/>
      <c r="CH221" s="1"/>
    </row>
    <row r="222" spans="85:86" x14ac:dyDescent="0.45">
      <c r="CG222" s="1"/>
      <c r="CH222" s="1"/>
    </row>
    <row r="223" spans="85:86" x14ac:dyDescent="0.45">
      <c r="CG223" s="1"/>
      <c r="CH223" s="1"/>
    </row>
    <row r="224" spans="85:86" x14ac:dyDescent="0.45">
      <c r="CG224" s="1"/>
      <c r="CH224" s="1"/>
    </row>
    <row r="225" spans="85:86" x14ac:dyDescent="0.45">
      <c r="CG225" s="1"/>
      <c r="CH225" s="1"/>
    </row>
    <row r="226" spans="85:86" x14ac:dyDescent="0.45">
      <c r="CG226" s="1"/>
      <c r="CH226" s="1"/>
    </row>
    <row r="227" spans="85:86" x14ac:dyDescent="0.45">
      <c r="CG227" s="1"/>
      <c r="CH227" s="1"/>
    </row>
    <row r="228" spans="85:86" x14ac:dyDescent="0.45">
      <c r="CG228" s="1"/>
      <c r="CH228" s="1"/>
    </row>
    <row r="229" spans="85:86" x14ac:dyDescent="0.45">
      <c r="CG229" s="1"/>
      <c r="CH229" s="1"/>
    </row>
    <row r="230" spans="85:86" x14ac:dyDescent="0.45">
      <c r="CG230" s="1"/>
      <c r="CH230" s="1"/>
    </row>
    <row r="231" spans="85:86" x14ac:dyDescent="0.45">
      <c r="CG231" s="1"/>
      <c r="CH231" s="1"/>
    </row>
    <row r="232" spans="85:86" x14ac:dyDescent="0.45">
      <c r="CG232" s="1"/>
      <c r="CH232" s="1"/>
    </row>
    <row r="233" spans="85:86" x14ac:dyDescent="0.45">
      <c r="CG233" s="1"/>
      <c r="CH233" s="1"/>
    </row>
    <row r="234" spans="85:86" x14ac:dyDescent="0.45">
      <c r="CG234" s="1"/>
      <c r="CH234" s="1"/>
    </row>
    <row r="235" spans="85:86" x14ac:dyDescent="0.45">
      <c r="CG235" s="1"/>
      <c r="CH235" s="1"/>
    </row>
    <row r="236" spans="85:86" x14ac:dyDescent="0.45">
      <c r="CG236" s="1"/>
      <c r="CH236" s="1"/>
    </row>
    <row r="237" spans="85:86" x14ac:dyDescent="0.45">
      <c r="CG237" s="1"/>
      <c r="CH237" s="1"/>
    </row>
    <row r="238" spans="85:86" x14ac:dyDescent="0.45">
      <c r="CG238" s="1"/>
      <c r="CH238" s="1"/>
    </row>
    <row r="239" spans="85:86" x14ac:dyDescent="0.45">
      <c r="CG239" s="1"/>
      <c r="CH239" s="1"/>
    </row>
    <row r="240" spans="85:86" x14ac:dyDescent="0.45">
      <c r="CG240" s="1"/>
      <c r="CH240" s="1"/>
    </row>
    <row r="241" spans="85:86" x14ac:dyDescent="0.45">
      <c r="CG241" s="1"/>
      <c r="CH241" s="1"/>
    </row>
    <row r="242" spans="85:86" x14ac:dyDescent="0.45">
      <c r="CG242" s="1"/>
      <c r="CH242" s="1"/>
    </row>
    <row r="243" spans="85:86" x14ac:dyDescent="0.45">
      <c r="CG243" s="1"/>
      <c r="CH243" s="1"/>
    </row>
    <row r="244" spans="85:86" x14ac:dyDescent="0.45">
      <c r="CG244" s="1"/>
      <c r="CH244" s="1"/>
    </row>
    <row r="245" spans="85:86" x14ac:dyDescent="0.45">
      <c r="CG245" s="1"/>
      <c r="CH245" s="1"/>
    </row>
    <row r="246" spans="85:86" x14ac:dyDescent="0.45">
      <c r="CG246" s="1"/>
      <c r="CH246" s="1"/>
    </row>
    <row r="247" spans="85:86" x14ac:dyDescent="0.45">
      <c r="CG247" s="1"/>
      <c r="CH247" s="1"/>
    </row>
    <row r="248" spans="85:86" x14ac:dyDescent="0.45">
      <c r="CG248" s="1"/>
      <c r="CH248" s="1"/>
    </row>
    <row r="249" spans="85:86" x14ac:dyDescent="0.45">
      <c r="CG249" s="1"/>
      <c r="CH249" s="1"/>
    </row>
    <row r="250" spans="85:86" x14ac:dyDescent="0.45">
      <c r="CG250" s="1"/>
      <c r="CH250" s="1"/>
    </row>
    <row r="251" spans="85:86" x14ac:dyDescent="0.45">
      <c r="CG251" s="1"/>
      <c r="CH251" s="1"/>
    </row>
    <row r="252" spans="85:86" x14ac:dyDescent="0.45">
      <c r="CG252" s="1"/>
      <c r="CH252" s="1"/>
    </row>
    <row r="253" spans="85:86" x14ac:dyDescent="0.45">
      <c r="CG253" s="1"/>
      <c r="CH253" s="1"/>
    </row>
    <row r="254" spans="85:86" x14ac:dyDescent="0.45">
      <c r="CG254" s="1"/>
      <c r="CH254" s="1"/>
    </row>
    <row r="255" spans="85:86" x14ac:dyDescent="0.45">
      <c r="CG255" s="1"/>
      <c r="CH255" s="1"/>
    </row>
    <row r="256" spans="85:86" x14ac:dyDescent="0.45">
      <c r="CG256" s="1"/>
      <c r="CH256" s="1"/>
    </row>
    <row r="257" spans="85:86" x14ac:dyDescent="0.45">
      <c r="CG257" s="1"/>
      <c r="CH257" s="1"/>
    </row>
    <row r="258" spans="85:86" x14ac:dyDescent="0.45">
      <c r="CG258" s="1"/>
      <c r="CH258" s="1"/>
    </row>
    <row r="259" spans="85:86" x14ac:dyDescent="0.45">
      <c r="CG259" s="1"/>
      <c r="CH259" s="1"/>
    </row>
    <row r="260" spans="85:86" x14ac:dyDescent="0.45">
      <c r="CG260" s="1"/>
      <c r="CH260" s="1"/>
    </row>
    <row r="261" spans="85:86" x14ac:dyDescent="0.45">
      <c r="CG261" s="1"/>
      <c r="CH261" s="1"/>
    </row>
    <row r="262" spans="85:86" x14ac:dyDescent="0.45">
      <c r="CG262" s="1"/>
      <c r="CH262" s="1"/>
    </row>
    <row r="263" spans="85:86" x14ac:dyDescent="0.45">
      <c r="CG263" s="1"/>
      <c r="CH263" s="1"/>
    </row>
    <row r="264" spans="85:86" x14ac:dyDescent="0.45">
      <c r="CG264" s="1"/>
      <c r="CH264" s="1"/>
    </row>
    <row r="265" spans="85:86" x14ac:dyDescent="0.45">
      <c r="CG265" s="1"/>
      <c r="CH265" s="1"/>
    </row>
    <row r="266" spans="85:86" x14ac:dyDescent="0.45">
      <c r="CG266" s="1"/>
      <c r="CH266" s="1"/>
    </row>
    <row r="267" spans="85:86" x14ac:dyDescent="0.45">
      <c r="CG267" s="1"/>
      <c r="CH267" s="1"/>
    </row>
    <row r="268" spans="85:86" x14ac:dyDescent="0.45">
      <c r="CG268" s="1"/>
      <c r="CH268" s="1"/>
    </row>
    <row r="269" spans="85:86" x14ac:dyDescent="0.45">
      <c r="CG269" s="1"/>
      <c r="CH269" s="1"/>
    </row>
    <row r="270" spans="85:86" x14ac:dyDescent="0.45">
      <c r="CG270" s="1"/>
      <c r="CH270" s="1"/>
    </row>
    <row r="271" spans="85:86" x14ac:dyDescent="0.45">
      <c r="CG271" s="1"/>
      <c r="CH271" s="1"/>
    </row>
    <row r="272" spans="85:86" x14ac:dyDescent="0.45">
      <c r="CG272" s="1"/>
      <c r="CH272" s="1"/>
    </row>
    <row r="273" spans="85:86" x14ac:dyDescent="0.45">
      <c r="CG273" s="1"/>
      <c r="CH273" s="1"/>
    </row>
    <row r="274" spans="85:86" x14ac:dyDescent="0.45">
      <c r="CG274" s="1"/>
      <c r="CH274" s="1"/>
    </row>
    <row r="275" spans="85:86" x14ac:dyDescent="0.45">
      <c r="CG275" s="1"/>
      <c r="CH275" s="1"/>
    </row>
    <row r="276" spans="85:86" x14ac:dyDescent="0.45">
      <c r="CG276" s="1"/>
      <c r="CH276" s="1"/>
    </row>
    <row r="277" spans="85:86" x14ac:dyDescent="0.45">
      <c r="CG277" s="1"/>
      <c r="CH277" s="1"/>
    </row>
    <row r="278" spans="85:86" x14ac:dyDescent="0.45">
      <c r="CG278" s="1"/>
      <c r="CH278" s="1"/>
    </row>
  </sheetData>
  <phoneticPr fontId="3"/>
  <conditionalFormatting sqref="H3:J3">
    <cfRule type="dataBar" priority="1527">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D4:D1048576 BB1:BC2 K4:M1048576 BB4:BC1048576 E1:E1048576 A1:A1048576"/>
    <dataValidation type="list" imeMode="on" allowBlank="1" showInputMessage="1" showErrorMessage="1" sqref="B3">
      <formula1>タイプ</formula1>
    </dataValidation>
    <dataValidation imeMode="off" allowBlank="1" showInputMessage="1" showErrorMessage="1" sqref="F1:J1048576 N1:N1048576 AM1:AM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58" r:id="rId4" name="btnShowSpeciesTable">
          <controlPr defaultSize="0" autoLine="0" r:id="rId5">
            <anchor moveWithCells="1">
              <from>
                <xdr:col>3</xdr:col>
                <xdr:colOff>38100</xdr:colOff>
                <xdr:row>0</xdr:row>
                <xdr:rowOff>0</xdr:rowOff>
              </from>
              <to>
                <xdr:col>3</xdr:col>
                <xdr:colOff>885825</xdr:colOff>
                <xdr:row>1</xdr:row>
                <xdr:rowOff>28575</xdr:rowOff>
              </to>
            </anchor>
          </controlPr>
        </control>
      </mc:Choice>
      <mc:Fallback>
        <control shapeId="1058" r:id="rId4" name="btnShowSpeciesTable"/>
      </mc:Fallback>
    </mc:AlternateContent>
    <mc:AlternateContent xmlns:mc="http://schemas.openxmlformats.org/markup-compatibility/2006">
      <mc:Choice Requires="x14">
        <control shapeId="1057" r:id="rId6" name="btnShowAtk2">
          <controlPr defaultSize="0" autoLine="0" r:id="rId7">
            <anchor moveWithCells="1">
              <from>
                <xdr:col>11</xdr:col>
                <xdr:colOff>38100</xdr:colOff>
                <xdr:row>0</xdr:row>
                <xdr:rowOff>0</xdr:rowOff>
              </from>
              <to>
                <xdr:col>11</xdr:col>
                <xdr:colOff>885825</xdr:colOff>
                <xdr:row>1</xdr:row>
                <xdr:rowOff>28575</xdr:rowOff>
              </to>
            </anchor>
          </controlPr>
        </control>
      </mc:Choice>
      <mc:Fallback>
        <control shapeId="1057" r:id="rId6" name="btnShowAtk2"/>
      </mc:Fallback>
    </mc:AlternateContent>
    <mc:AlternateContent xmlns:mc="http://schemas.openxmlformats.org/markup-compatibility/2006">
      <mc:Choice Requires="x14">
        <control shapeId="1035" r:id="rId8" name="btnShowMap">
          <controlPr defaultSize="0" autoLine="0" r:id="rId9">
            <anchor moveWithCells="1">
              <from>
                <xdr:col>0</xdr:col>
                <xdr:colOff>590550</xdr:colOff>
                <xdr:row>0</xdr:row>
                <xdr:rowOff>0</xdr:rowOff>
              </from>
              <to>
                <xdr:col>1</xdr:col>
                <xdr:colOff>9525</xdr:colOff>
                <xdr:row>1</xdr:row>
                <xdr:rowOff>38100</xdr:rowOff>
              </to>
            </anchor>
          </controlPr>
        </control>
      </mc:Choice>
      <mc:Fallback>
        <control shapeId="1035" r:id="rId8" name="btnShowMap"/>
      </mc:Fallback>
    </mc:AlternateContent>
    <mc:AlternateContent xmlns:mc="http://schemas.openxmlformats.org/markup-compatibility/2006">
      <mc:Choice Requires="x14">
        <control shapeId="1036" r:id="rId10" name="btnShowAtk">
          <controlPr defaultSize="0" autoLine="0" r:id="rId11">
            <anchor moveWithCells="1">
              <from>
                <xdr:col>53</xdr:col>
                <xdr:colOff>819150</xdr:colOff>
                <xdr:row>0</xdr:row>
                <xdr:rowOff>19050</xdr:rowOff>
              </from>
              <to>
                <xdr:col>54</xdr:col>
                <xdr:colOff>495300</xdr:colOff>
                <xdr:row>1</xdr:row>
                <xdr:rowOff>47625</xdr:rowOff>
              </to>
            </anchor>
          </controlPr>
        </control>
      </mc:Choice>
      <mc:Fallback>
        <control shapeId="1036" r:id="rId10" name="btnShowAtk"/>
      </mc:Fallback>
    </mc:AlternateContent>
    <mc:AlternateContent xmlns:mc="http://schemas.openxmlformats.org/markup-compatibility/2006">
      <mc:Choice Requires="x14">
        <control shapeId="1041" r:id="rId12" name="chkSameType">
          <controlPr defaultSize="0" autoLine="0" r:id="rId13">
            <anchor moveWithCells="1">
              <from>
                <xdr:col>0</xdr:col>
                <xdr:colOff>0</xdr:colOff>
                <xdr:row>0</xdr:row>
                <xdr:rowOff>0</xdr:rowOff>
              </from>
              <to>
                <xdr:col>0</xdr:col>
                <xdr:colOff>609600</xdr:colOff>
                <xdr:row>1</xdr:row>
                <xdr:rowOff>28575</xdr:rowOff>
              </to>
            </anchor>
          </controlPr>
        </control>
      </mc:Choice>
      <mc:Fallback>
        <control shapeId="1041" r:id="rId12" name="chkSameType"/>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528"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 AN3</xm:sqref>
        </x14:conditionalFormatting>
        <x14:conditionalFormatting xmlns:xm="http://schemas.microsoft.com/office/excel/2006/main">
          <x14:cfRule type="dataBar" priority="1530"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AR3</xm:sqref>
        </x14:conditionalFormatting>
        <x14:conditionalFormatting xmlns:xm="http://schemas.microsoft.com/office/excel/2006/main">
          <x14:cfRule type="dataBar" priority="1532"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P3 AU3</xm:sqref>
        </x14:conditionalFormatting>
        <x14:conditionalFormatting xmlns:xm="http://schemas.microsoft.com/office/excel/2006/main">
          <x14:cfRule type="dataBar" priority="1534"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Q3 AW3</xm:sqref>
        </x14:conditionalFormatting>
        <x14:conditionalFormatting xmlns:xm="http://schemas.microsoft.com/office/excel/2006/main">
          <x14:cfRule type="dataBar" priority="1536"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W3 BF3</xm:sqref>
        </x14:conditionalFormatting>
        <x14:conditionalFormatting xmlns:xm="http://schemas.microsoft.com/office/excel/2006/main">
          <x14:cfRule type="dataBar" priority="1538"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AG3 BW3</xm:sqref>
        </x14:conditionalFormatting>
        <x14:conditionalFormatting xmlns:xm="http://schemas.microsoft.com/office/excel/2006/main">
          <x14:cfRule type="dataBar" priority="1540"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Y3 AB3 BK3</xm:sqref>
        </x14:conditionalFormatting>
        <x14:conditionalFormatting xmlns:xm="http://schemas.microsoft.com/office/excel/2006/main">
          <x14:cfRule type="dataBar" priority="1543"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R3 AY3</xm:sqref>
        </x14:conditionalFormatting>
        <x14:conditionalFormatting xmlns:xm="http://schemas.microsoft.com/office/excel/2006/main">
          <x14:cfRule type="dataBar" priority="1545"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S3</xm:sqref>
        </x14:conditionalFormatting>
        <x14:conditionalFormatting xmlns:xm="http://schemas.microsoft.com/office/excel/2006/main">
          <x14:cfRule type="dataBar" priority="1546"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T3</xm:sqref>
        </x14:conditionalFormatting>
        <x14:conditionalFormatting xmlns:xm="http://schemas.microsoft.com/office/excel/2006/main">
          <x14:cfRule type="dataBar" priority="1547"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U3:V3 AZ3</xm:sqref>
        </x14:conditionalFormatting>
        <x14:conditionalFormatting xmlns:xm="http://schemas.microsoft.com/office/excel/2006/main">
          <x14:cfRule type="dataBar" priority="1549"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AA3 BQ3 AD3</xm:sqref>
        </x14:conditionalFormatting>
        <x14:conditionalFormatting xmlns:xm="http://schemas.microsoft.com/office/excel/2006/main">
          <x14:cfRule type="dataBar" priority="1552"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AI3 AK3 CD3</xm:sqref>
        </x14:conditionalFormatting>
        <x14:conditionalFormatting xmlns:xm="http://schemas.microsoft.com/office/excel/2006/main">
          <x14:cfRule type="dataBar" priority="1555"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AS3</xm:sqref>
        </x14:conditionalFormatting>
        <x14:conditionalFormatting xmlns:xm="http://schemas.microsoft.com/office/excel/2006/main">
          <x14:cfRule type="dataBar" priority="1557"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AN3</xm:sqref>
        </x14:conditionalFormatting>
        <x14:conditionalFormatting xmlns:xm="http://schemas.microsoft.com/office/excel/2006/main">
          <x14:cfRule type="dataBar" priority="1558"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AZ3</xm:sqref>
        </x14:conditionalFormatting>
        <x14:conditionalFormatting xmlns:xm="http://schemas.microsoft.com/office/excel/2006/main">
          <x14:cfRule type="dataBar" priority="1559"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AH3 AJ3 BZ3</xm:sqref>
        </x14:conditionalFormatting>
        <x14:conditionalFormatting xmlns:xm="http://schemas.microsoft.com/office/excel/2006/main">
          <x14:cfRule type="dataBar" priority="1562"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X3 BH3</xm:sqref>
        </x14:conditionalFormatting>
        <x14:conditionalFormatting xmlns:xm="http://schemas.microsoft.com/office/excel/2006/main">
          <x14:cfRule type="dataBar" priority="1564"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Z3 AC3 BM3</xm:sqref>
        </x14:conditionalFormatting>
        <x14:conditionalFormatting xmlns:xm="http://schemas.microsoft.com/office/excel/2006/main">
          <x14:cfRule type="dataBar" priority="1567"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AF3 BU3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75" zoomScaleNormal="75"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60" t="s">
        <v>331</v>
      </c>
      <c r="B1" s="361"/>
      <c r="C1" s="362"/>
      <c r="D1" s="362" t="s">
        <v>330</v>
      </c>
      <c r="E1" s="358"/>
      <c r="N1" s="232" t="s">
        <v>1737</v>
      </c>
      <c r="O1" s="362" t="s">
        <v>2585</v>
      </c>
      <c r="P1" s="362" t="s">
        <v>2596</v>
      </c>
      <c r="Q1" s="362" t="s">
        <v>2586</v>
      </c>
      <c r="R1" s="362" t="s">
        <v>2597</v>
      </c>
      <c r="S1" s="362" t="s">
        <v>2587</v>
      </c>
      <c r="AB1" s="21" t="s">
        <v>2593</v>
      </c>
      <c r="AC1" s="21" t="s">
        <v>324</v>
      </c>
      <c r="AD1" s="21" t="s">
        <v>2592</v>
      </c>
      <c r="AE1" s="21" t="s">
        <v>2591</v>
      </c>
      <c r="AF1" s="21" t="s">
        <v>329</v>
      </c>
    </row>
    <row r="2" spans="1:44" x14ac:dyDescent="0.45">
      <c r="A2" s="359"/>
      <c r="B2" s="359"/>
      <c r="C2" s="359"/>
      <c r="D2" s="359"/>
      <c r="E2" s="358"/>
      <c r="O2" s="359" t="s">
        <v>2588</v>
      </c>
      <c r="P2" s="359" t="s">
        <v>2594</v>
      </c>
      <c r="Q2" s="359" t="s">
        <v>2599</v>
      </c>
      <c r="R2" s="359" t="s">
        <v>2595</v>
      </c>
      <c r="S2" s="359">
        <v>8</v>
      </c>
      <c r="AB2" s="20"/>
      <c r="AC2" s="20"/>
      <c r="AD2" s="20"/>
      <c r="AE2" s="20"/>
      <c r="AF2" s="18"/>
    </row>
    <row r="3" spans="1:44" x14ac:dyDescent="0.45">
      <c r="A3" s="19"/>
      <c r="B3" s="19"/>
      <c r="C3" s="19"/>
      <c r="D3" s="19"/>
      <c r="E3" s="19"/>
      <c r="F3" s="19"/>
      <c r="G3" s="19"/>
      <c r="N3" s="82"/>
      <c r="V3" s="505"/>
      <c r="X3" s="82"/>
      <c r="AB3" s="18"/>
      <c r="AC3" s="18"/>
      <c r="AD3" s="18"/>
      <c r="AE3" s="18"/>
      <c r="AF3" s="18"/>
      <c r="AH3" s="507"/>
      <c r="AP3" s="506"/>
      <c r="AR3" s="507"/>
    </row>
  </sheetData>
  <phoneticPr fontId="3"/>
  <dataValidations count="1">
    <dataValidation type="list" allowBlank="1" showInputMessage="1" showErrorMessage="1" sqref="A2:B2">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4" r:id="rId4" name="cmdAllUpdate">
          <controlPr defaultSize="0" autoLine="0" r:id="rId5">
            <anchor moveWithCells="1">
              <from>
                <xdr:col>20</xdr:col>
                <xdr:colOff>0</xdr:colOff>
                <xdr:row>0</xdr:row>
                <xdr:rowOff>0</xdr:rowOff>
              </from>
              <to>
                <xdr:col>21</xdr:col>
                <xdr:colOff>409575</xdr:colOff>
                <xdr:row>1</xdr:row>
                <xdr:rowOff>9525</xdr:rowOff>
              </to>
            </anchor>
          </controlPr>
        </control>
      </mc:Choice>
      <mc:Fallback>
        <control shapeId="2054" r:id="rId4" name="cmdAllUpdate"/>
      </mc:Fallback>
    </mc:AlternateContent>
    <mc:AlternateContent xmlns:mc="http://schemas.openxmlformats.org/markup-compatibility/2006">
      <mc:Choice Requires="x14">
        <control shapeId="2049" r:id="rId6" name="btnMakeMap">
          <controlPr defaultSize="0" autoLine="0" r:id="rId7">
            <anchor moveWithCells="1">
              <from>
                <xdr:col>11</xdr:col>
                <xdr:colOff>361950</xdr:colOff>
                <xdr:row>0</xdr:row>
                <xdr:rowOff>0</xdr:rowOff>
              </from>
              <to>
                <xdr:col>13</xdr:col>
                <xdr:colOff>9525</xdr:colOff>
                <xdr:row>1</xdr:row>
                <xdr:rowOff>9525</xdr:rowOff>
              </to>
            </anchor>
          </controlPr>
        </control>
      </mc:Choice>
      <mc:Fallback>
        <control shapeId="2049" r:id="rId6" name="btnMakeMap"/>
      </mc:Fallback>
    </mc:AlternateContent>
    <mc:AlternateContent xmlns:mc="http://schemas.openxmlformats.org/markup-compatibility/2006">
      <mc:Choice Requires="x14">
        <control shapeId="2050" r:id="rId8" name="chkShowPrediction">
          <controlPr defaultSize="0" autoLine="0" r:id="rId9">
            <anchor moveWithCells="1">
              <from>
                <xdr:col>5</xdr:col>
                <xdr:colOff>266700</xdr:colOff>
                <xdr:row>0</xdr:row>
                <xdr:rowOff>0</xdr:rowOff>
              </from>
              <to>
                <xdr:col>6</xdr:col>
                <xdr:colOff>533400</xdr:colOff>
                <xdr:row>1</xdr:row>
                <xdr:rowOff>38100</xdr:rowOff>
              </to>
            </anchor>
          </controlPr>
        </control>
      </mc:Choice>
      <mc:Fallback>
        <control shapeId="2050" r:id="rId8" name="chkShowPrediction"/>
      </mc:Fallback>
    </mc:AlternateContent>
    <mc:AlternateContent xmlns:mc="http://schemas.openxmlformats.org/markup-compatibility/2006">
      <mc:Choice Requires="x14">
        <control shapeId="2051" r:id="rId10" name="btnReset">
          <controlPr defaultSize="0" autoLine="0" r:id="rId11">
            <anchor moveWithCells="1">
              <from>
                <xdr:col>7</xdr:col>
                <xdr:colOff>0</xdr:colOff>
                <xdr:row>0</xdr:row>
                <xdr:rowOff>0</xdr:rowOff>
              </from>
              <to>
                <xdr:col>8</xdr:col>
                <xdr:colOff>0</xdr:colOff>
                <xdr:row>1</xdr:row>
                <xdr:rowOff>9525</xdr:rowOff>
              </to>
            </anchor>
          </controlPr>
        </control>
      </mc:Choice>
      <mc:Fallback>
        <control shapeId="2051" r:id="rId10"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ymEffective"/>
  <dimension ref="A1:BI45"/>
  <sheetViews>
    <sheetView zoomScale="80" zoomScaleNormal="80" workbookViewId="0">
      <pane xSplit="2" ySplit="2" topLeftCell="AX3" activePane="bottomRight" state="frozenSplit"/>
      <selection pane="topRight" activeCell="F1" sqref="F1"/>
      <selection pane="bottomLeft" activeCell="A5" sqref="A5"/>
      <selection pane="bottomRight" activeCell="A3" sqref="A3"/>
    </sheetView>
  </sheetViews>
  <sheetFormatPr defaultRowHeight="16.5" x14ac:dyDescent="0.45"/>
  <cols>
    <col min="1" max="2" width="14.44140625" style="1" customWidth="1"/>
    <col min="3" max="4" width="12.109375" style="1" customWidth="1"/>
    <col min="5" max="5" width="4.109375" style="1" customWidth="1"/>
    <col min="6" max="7" width="8.109375" style="1" customWidth="1"/>
    <col min="8" max="8" width="7.33203125" style="1" customWidth="1"/>
    <col min="9" max="10" width="6.33203125" style="1" customWidth="1"/>
    <col min="11" max="12" width="5.44140625" style="1" customWidth="1"/>
    <col min="13" max="13" width="5.44140625" style="430" customWidth="1"/>
    <col min="14" max="15" width="13" style="1" customWidth="1"/>
    <col min="16" max="16" width="5.44140625" style="3" customWidth="1"/>
    <col min="17" max="17" width="13" style="1" customWidth="1"/>
    <col min="18" max="18" width="6.109375" style="3" customWidth="1"/>
    <col min="19" max="19" width="5.44140625" style="3" customWidth="1"/>
    <col min="20" max="20" width="6" style="3" customWidth="1"/>
    <col min="21" max="21" width="6.88671875" style="447" customWidth="1"/>
    <col min="22" max="22" width="5.44140625" style="430" customWidth="1"/>
    <col min="23" max="23" width="5.44140625" style="1" customWidth="1"/>
    <col min="24" max="25" width="13.21875" style="1" customWidth="1"/>
    <col min="26" max="26" width="5.44140625" style="3" customWidth="1"/>
    <col min="27" max="27" width="13.21875" style="1" customWidth="1"/>
    <col min="28" max="28" width="6" style="3" customWidth="1"/>
    <col min="29" max="29" width="5.44140625" style="3" customWidth="1"/>
    <col min="30" max="30" width="6" style="3" customWidth="1"/>
    <col min="31" max="31" width="6.88671875" style="447" customWidth="1"/>
    <col min="32" max="32" width="13.21875" style="1" customWidth="1"/>
    <col min="33" max="33" width="5.44140625" style="430" customWidth="1"/>
    <col min="34" max="35" width="13.21875" style="1" customWidth="1"/>
    <col min="36" max="36" width="5.44140625" style="3" customWidth="1"/>
    <col min="37" max="37" width="13.21875" style="1" customWidth="1"/>
    <col min="38" max="38" width="6" style="3" customWidth="1"/>
    <col min="39" max="39" width="5.44140625" style="3" customWidth="1"/>
    <col min="40" max="40" width="6" style="3" customWidth="1"/>
    <col min="41" max="41" width="6.88671875" style="447" customWidth="1"/>
    <col min="42" max="42" width="5.33203125" style="430" customWidth="1"/>
    <col min="43" max="43" width="5.33203125" style="1" customWidth="1"/>
    <col min="44" max="45" width="12.88671875" style="1" customWidth="1"/>
    <col min="46" max="46" width="5.44140625" style="3" customWidth="1"/>
    <col min="47" max="47" width="12.88671875" style="1" customWidth="1"/>
    <col min="48" max="48" width="6" style="3" customWidth="1"/>
    <col min="49" max="49" width="5.44140625" style="3" customWidth="1"/>
    <col min="50" max="50" width="6" style="3" customWidth="1"/>
    <col min="51" max="51" width="6.88671875" style="447" customWidth="1"/>
    <col min="52" max="52" width="12.88671875" style="1" customWidth="1"/>
    <col min="53" max="53" width="7.6640625" style="1" customWidth="1"/>
    <col min="54" max="16384" width="8.88671875" style="1"/>
  </cols>
  <sheetData>
    <row r="1" spans="1:61" s="18" customFormat="1" x14ac:dyDescent="0.45">
      <c r="A1" s="408" t="s">
        <v>1729</v>
      </c>
      <c r="B1" s="408"/>
      <c r="C1" s="408"/>
      <c r="D1" s="408"/>
      <c r="E1" s="408"/>
      <c r="F1" s="408"/>
      <c r="G1" s="408"/>
      <c r="H1" s="408"/>
      <c r="I1" s="408"/>
      <c r="J1" s="408"/>
      <c r="K1" s="409" t="s">
        <v>1736</v>
      </c>
      <c r="L1" s="409"/>
      <c r="M1" s="428" t="s">
        <v>1724</v>
      </c>
      <c r="N1" s="316"/>
      <c r="O1" s="316"/>
      <c r="P1" s="437"/>
      <c r="Q1" s="316"/>
      <c r="R1" s="437"/>
      <c r="S1" s="437"/>
      <c r="T1" s="437"/>
      <c r="U1" s="445"/>
      <c r="V1" s="431" t="s">
        <v>1725</v>
      </c>
      <c r="W1" s="410"/>
      <c r="X1" s="410"/>
      <c r="Y1" s="410"/>
      <c r="Z1" s="439"/>
      <c r="AA1" s="410"/>
      <c r="AB1" s="439"/>
      <c r="AC1" s="439"/>
      <c r="AD1" s="439"/>
      <c r="AE1" s="448"/>
      <c r="AF1" s="410"/>
      <c r="AG1" s="433" t="s">
        <v>1727</v>
      </c>
      <c r="AH1" s="411"/>
      <c r="AI1" s="411"/>
      <c r="AJ1" s="441"/>
      <c r="AK1" s="411"/>
      <c r="AL1" s="441"/>
      <c r="AM1" s="441"/>
      <c r="AN1" s="441"/>
      <c r="AO1" s="450"/>
      <c r="AP1" s="435" t="s">
        <v>1728</v>
      </c>
      <c r="AQ1" s="412"/>
      <c r="AR1" s="412"/>
      <c r="AS1" s="412"/>
      <c r="AT1" s="443"/>
      <c r="AU1" s="412"/>
      <c r="AV1" s="443"/>
      <c r="AW1" s="443"/>
      <c r="AX1" s="443"/>
      <c r="AY1" s="452"/>
      <c r="AZ1" s="412"/>
      <c r="BA1" s="409"/>
      <c r="BC1" s="241" t="s">
        <v>1737</v>
      </c>
      <c r="BD1" s="454" t="s">
        <v>1738</v>
      </c>
      <c r="BE1" s="454" t="s">
        <v>1739</v>
      </c>
      <c r="BF1" s="454" t="s">
        <v>1740</v>
      </c>
      <c r="BG1" s="454" t="s">
        <v>3108</v>
      </c>
      <c r="BH1" s="457" t="s">
        <v>2859</v>
      </c>
      <c r="BI1" s="457" t="s">
        <v>2860</v>
      </c>
    </row>
    <row r="2" spans="1:61" s="18" customFormat="1" x14ac:dyDescent="0.45">
      <c r="A2" s="234" t="s">
        <v>324</v>
      </c>
      <c r="B2" s="234" t="s">
        <v>336</v>
      </c>
      <c r="C2" s="234" t="s">
        <v>321</v>
      </c>
      <c r="D2" s="234" t="s">
        <v>333</v>
      </c>
      <c r="E2" s="235" t="s">
        <v>318</v>
      </c>
      <c r="F2" s="235" t="s">
        <v>1733</v>
      </c>
      <c r="G2" s="235" t="s">
        <v>1732</v>
      </c>
      <c r="H2" s="235" t="s">
        <v>1731</v>
      </c>
      <c r="I2" s="235" t="s">
        <v>1726</v>
      </c>
      <c r="J2" s="235" t="s">
        <v>1730</v>
      </c>
      <c r="K2" s="240" t="s">
        <v>1734</v>
      </c>
      <c r="L2" s="240" t="s">
        <v>1735</v>
      </c>
      <c r="M2" s="429" t="s">
        <v>3710</v>
      </c>
      <c r="N2" s="237" t="s">
        <v>3922</v>
      </c>
      <c r="O2" s="237" t="s">
        <v>3711</v>
      </c>
      <c r="P2" s="438" t="s">
        <v>3923</v>
      </c>
      <c r="Q2" s="237" t="s">
        <v>3924</v>
      </c>
      <c r="R2" s="438" t="s">
        <v>3925</v>
      </c>
      <c r="S2" s="438" t="s">
        <v>3926</v>
      </c>
      <c r="T2" s="438" t="s">
        <v>3927</v>
      </c>
      <c r="U2" s="446" t="s">
        <v>3928</v>
      </c>
      <c r="V2" s="432" t="s">
        <v>3712</v>
      </c>
      <c r="W2" s="238" t="s">
        <v>3713</v>
      </c>
      <c r="X2" s="238" t="s">
        <v>3929</v>
      </c>
      <c r="Y2" s="238" t="s">
        <v>3714</v>
      </c>
      <c r="Z2" s="440" t="s">
        <v>3930</v>
      </c>
      <c r="AA2" s="238" t="s">
        <v>3931</v>
      </c>
      <c r="AB2" s="440" t="s">
        <v>3932</v>
      </c>
      <c r="AC2" s="440" t="s">
        <v>3933</v>
      </c>
      <c r="AD2" s="440" t="s">
        <v>3934</v>
      </c>
      <c r="AE2" s="449" t="s">
        <v>3935</v>
      </c>
      <c r="AF2" s="238" t="s">
        <v>3715</v>
      </c>
      <c r="AG2" s="434" t="s">
        <v>3716</v>
      </c>
      <c r="AH2" s="236" t="s">
        <v>3936</v>
      </c>
      <c r="AI2" s="236" t="s">
        <v>3717</v>
      </c>
      <c r="AJ2" s="442" t="s">
        <v>3937</v>
      </c>
      <c r="AK2" s="236" t="s">
        <v>3938</v>
      </c>
      <c r="AL2" s="442" t="s">
        <v>3939</v>
      </c>
      <c r="AM2" s="442" t="s">
        <v>3940</v>
      </c>
      <c r="AN2" s="442" t="s">
        <v>3941</v>
      </c>
      <c r="AO2" s="451" t="s">
        <v>3942</v>
      </c>
      <c r="AP2" s="436" t="s">
        <v>3718</v>
      </c>
      <c r="AQ2" s="239" t="s">
        <v>3719</v>
      </c>
      <c r="AR2" s="239" t="s">
        <v>3943</v>
      </c>
      <c r="AS2" s="239" t="s">
        <v>3720</v>
      </c>
      <c r="AT2" s="444" t="s">
        <v>3944</v>
      </c>
      <c r="AU2" s="239" t="s">
        <v>3945</v>
      </c>
      <c r="AV2" s="444" t="s">
        <v>3946</v>
      </c>
      <c r="AW2" s="444" t="s">
        <v>3947</v>
      </c>
      <c r="AX2" s="444" t="s">
        <v>3948</v>
      </c>
      <c r="AY2" s="453" t="s">
        <v>3949</v>
      </c>
      <c r="AZ2" s="239" t="s">
        <v>3950</v>
      </c>
      <c r="BA2" s="240" t="s">
        <v>1742</v>
      </c>
      <c r="BD2" s="456">
        <v>2</v>
      </c>
      <c r="BE2" s="456">
        <v>6</v>
      </c>
      <c r="BF2" s="456" t="s">
        <v>2858</v>
      </c>
      <c r="BG2" s="456">
        <v>0</v>
      </c>
      <c r="BH2" s="455"/>
      <c r="BI2" s="455">
        <v>2000</v>
      </c>
    </row>
    <row r="3" spans="1:61" s="413" customFormat="1" ht="18.75" x14ac:dyDescent="0.45">
      <c r="A3" s="528" t="s">
        <v>3788</v>
      </c>
      <c r="B3" s="529"/>
      <c r="C3" s="530"/>
      <c r="D3" s="530"/>
      <c r="E3" s="528"/>
      <c r="F3" s="528"/>
      <c r="G3" s="528"/>
      <c r="H3" s="528"/>
      <c r="I3" s="528"/>
      <c r="J3" s="528"/>
      <c r="K3" s="528"/>
      <c r="L3" s="528"/>
      <c r="M3" s="531"/>
      <c r="N3" s="532"/>
      <c r="O3" s="533"/>
      <c r="P3" s="534"/>
      <c r="Q3" s="533"/>
      <c r="R3" s="534"/>
      <c r="S3" s="534"/>
      <c r="T3" s="534"/>
      <c r="U3" s="535"/>
      <c r="V3" s="536"/>
      <c r="W3" s="531"/>
      <c r="X3" s="532"/>
      <c r="Y3" s="537"/>
      <c r="Z3" s="534"/>
      <c r="AA3" s="537"/>
      <c r="AB3" s="534"/>
      <c r="AC3" s="534"/>
      <c r="AD3" s="534"/>
      <c r="AE3" s="535"/>
      <c r="AF3" s="531"/>
      <c r="AG3" s="531"/>
      <c r="AH3" s="532"/>
      <c r="AI3" s="533"/>
      <c r="AJ3" s="534"/>
      <c r="AK3" s="533"/>
      <c r="AL3" s="534"/>
      <c r="AM3" s="534"/>
      <c r="AN3" s="534"/>
      <c r="AO3" s="535"/>
      <c r="AP3" s="538"/>
      <c r="AQ3" s="531"/>
      <c r="AR3" s="539"/>
      <c r="AS3" s="540"/>
      <c r="AT3" s="534"/>
      <c r="AU3" s="541"/>
      <c r="AV3" s="534"/>
      <c r="AW3" s="534"/>
      <c r="AX3" s="534"/>
      <c r="AY3" s="535"/>
      <c r="AZ3" s="531"/>
      <c r="BA3" s="531"/>
    </row>
    <row r="4" spans="1:61" x14ac:dyDescent="0.45">
      <c r="A4" s="18"/>
      <c r="B4" s="512"/>
      <c r="C4" s="489"/>
      <c r="D4" s="489"/>
      <c r="E4" s="18"/>
      <c r="F4" s="18"/>
      <c r="G4" s="18"/>
      <c r="H4" s="18"/>
      <c r="I4" s="18"/>
      <c r="J4" s="18"/>
      <c r="K4" s="18"/>
      <c r="L4" s="18"/>
      <c r="N4" s="490"/>
      <c r="O4" s="492"/>
      <c r="P4" s="297"/>
      <c r="Q4" s="492"/>
      <c r="R4" s="297"/>
      <c r="S4" s="297"/>
      <c r="T4" s="297"/>
      <c r="U4" s="491"/>
      <c r="V4" s="495"/>
      <c r="W4" s="358"/>
      <c r="X4" s="490"/>
      <c r="Y4" s="493"/>
      <c r="Z4" s="297"/>
      <c r="AA4" s="494"/>
      <c r="AB4" s="297"/>
      <c r="AC4" s="297"/>
      <c r="AD4" s="297"/>
      <c r="AE4" s="491"/>
      <c r="AF4" s="358"/>
      <c r="AH4" s="490"/>
      <c r="AI4" s="492"/>
      <c r="AJ4" s="297"/>
      <c r="AK4" s="492"/>
      <c r="AL4" s="297"/>
      <c r="AM4" s="297"/>
      <c r="AN4" s="297"/>
      <c r="AO4" s="491"/>
      <c r="AP4" s="495"/>
      <c r="AQ4" s="358"/>
      <c r="AR4" s="490"/>
      <c r="AS4" s="493"/>
      <c r="AT4" s="297"/>
      <c r="AU4" s="494"/>
      <c r="AV4" s="297"/>
      <c r="AW4" s="297"/>
      <c r="AX4" s="297"/>
      <c r="AY4" s="491"/>
      <c r="AZ4" s="358"/>
      <c r="BA4" s="358"/>
    </row>
    <row r="5" spans="1:61" x14ac:dyDescent="0.45">
      <c r="A5" s="18"/>
      <c r="B5" s="512"/>
      <c r="C5" s="489"/>
      <c r="D5" s="489"/>
      <c r="E5" s="18"/>
      <c r="F5" s="18"/>
      <c r="G5" s="18"/>
      <c r="H5" s="18"/>
      <c r="I5" s="18"/>
      <c r="J5" s="18"/>
      <c r="K5" s="18"/>
      <c r="L5" s="18"/>
      <c r="N5" s="490"/>
      <c r="O5" s="492"/>
      <c r="P5" s="297"/>
      <c r="Q5" s="492"/>
      <c r="R5" s="297"/>
      <c r="S5" s="297"/>
      <c r="T5" s="297"/>
      <c r="U5" s="491"/>
      <c r="V5" s="495"/>
      <c r="W5" s="358"/>
      <c r="X5" s="490"/>
      <c r="Y5" s="493"/>
      <c r="Z5" s="297"/>
      <c r="AA5" s="494"/>
      <c r="AB5" s="297"/>
      <c r="AC5" s="297"/>
      <c r="AD5" s="297"/>
      <c r="AE5" s="491"/>
      <c r="AF5" s="358"/>
      <c r="AH5" s="490"/>
      <c r="AI5" s="492"/>
      <c r="AJ5" s="297"/>
      <c r="AK5" s="492"/>
      <c r="AL5" s="297"/>
      <c r="AM5" s="297"/>
      <c r="AN5" s="297"/>
      <c r="AO5" s="491"/>
      <c r="AP5" s="495"/>
      <c r="AQ5" s="358"/>
      <c r="AR5" s="490"/>
      <c r="AS5" s="493"/>
      <c r="AT5" s="297"/>
      <c r="AU5" s="494"/>
      <c r="AV5" s="297"/>
      <c r="AW5" s="297"/>
      <c r="AX5" s="297"/>
      <c r="AY5" s="491"/>
      <c r="AZ5" s="358"/>
      <c r="BA5" s="358"/>
    </row>
    <row r="6" spans="1:61" x14ac:dyDescent="0.45">
      <c r="A6" s="18"/>
      <c r="B6" s="512"/>
      <c r="C6" s="489"/>
      <c r="D6" s="489"/>
      <c r="E6" s="18"/>
      <c r="F6" s="18"/>
      <c r="G6" s="18"/>
      <c r="H6" s="18"/>
      <c r="I6" s="18"/>
      <c r="J6" s="18"/>
      <c r="K6" s="18"/>
      <c r="L6" s="18"/>
      <c r="N6" s="490"/>
      <c r="O6" s="492"/>
      <c r="P6" s="297"/>
      <c r="Q6" s="492"/>
      <c r="R6" s="297"/>
      <c r="S6" s="297"/>
      <c r="T6" s="297"/>
      <c r="U6" s="491"/>
      <c r="V6" s="495"/>
      <c r="W6" s="358"/>
      <c r="X6" s="490"/>
      <c r="Y6" s="493"/>
      <c r="Z6" s="297"/>
      <c r="AA6" s="494"/>
      <c r="AB6" s="297"/>
      <c r="AC6" s="297"/>
      <c r="AD6" s="297"/>
      <c r="AE6" s="491"/>
      <c r="AF6" s="358"/>
      <c r="AH6" s="490"/>
      <c r="AI6" s="492"/>
      <c r="AJ6" s="297"/>
      <c r="AK6" s="492"/>
      <c r="AL6" s="297"/>
      <c r="AM6" s="297"/>
      <c r="AN6" s="297"/>
      <c r="AO6" s="491"/>
      <c r="AP6" s="495"/>
      <c r="AQ6" s="358"/>
      <c r="AR6" s="490"/>
      <c r="AS6" s="493"/>
      <c r="AT6" s="297"/>
      <c r="AU6" s="494"/>
      <c r="AV6" s="297"/>
      <c r="AW6" s="297"/>
      <c r="AX6" s="297"/>
      <c r="AY6" s="491"/>
      <c r="AZ6" s="358"/>
      <c r="BA6" s="358"/>
    </row>
    <row r="7" spans="1:61" x14ac:dyDescent="0.45">
      <c r="A7" s="18"/>
      <c r="B7" s="512"/>
      <c r="C7" s="489"/>
      <c r="D7" s="489"/>
      <c r="E7" s="18"/>
      <c r="F7" s="18"/>
      <c r="G7" s="18"/>
      <c r="H7" s="18"/>
      <c r="I7" s="18"/>
      <c r="J7" s="18"/>
      <c r="K7" s="18"/>
      <c r="L7" s="18"/>
      <c r="N7" s="490"/>
      <c r="O7" s="492"/>
      <c r="P7" s="297"/>
      <c r="Q7" s="492"/>
      <c r="R7" s="297"/>
      <c r="S7" s="297"/>
      <c r="T7" s="297"/>
      <c r="U7" s="491"/>
      <c r="V7" s="495"/>
      <c r="W7" s="358"/>
      <c r="X7" s="490"/>
      <c r="Y7" s="493"/>
      <c r="Z7" s="297"/>
      <c r="AA7" s="494"/>
      <c r="AB7" s="297"/>
      <c r="AC7" s="297"/>
      <c r="AD7" s="297"/>
      <c r="AE7" s="491"/>
      <c r="AF7" s="358"/>
      <c r="AH7" s="490"/>
      <c r="AI7" s="492"/>
      <c r="AJ7" s="297"/>
      <c r="AK7" s="492"/>
      <c r="AL7" s="297"/>
      <c r="AM7" s="297"/>
      <c r="AN7" s="297"/>
      <c r="AO7" s="491"/>
      <c r="AP7" s="495"/>
      <c r="AQ7" s="358"/>
      <c r="AR7" s="490"/>
      <c r="AS7" s="493"/>
      <c r="AT7" s="297"/>
      <c r="AU7" s="494"/>
      <c r="AV7" s="297"/>
      <c r="AW7" s="297"/>
      <c r="AX7" s="297"/>
      <c r="AY7" s="491"/>
      <c r="AZ7" s="358"/>
      <c r="BA7" s="358"/>
    </row>
    <row r="8" spans="1:61" x14ac:dyDescent="0.45">
      <c r="A8" s="18"/>
      <c r="B8" s="512"/>
      <c r="C8" s="489"/>
      <c r="D8" s="489"/>
      <c r="E8" s="18"/>
      <c r="F8" s="18"/>
      <c r="G8" s="18"/>
      <c r="H8" s="18"/>
      <c r="I8" s="18"/>
      <c r="J8" s="18"/>
      <c r="K8" s="18"/>
      <c r="L8" s="18"/>
      <c r="N8" s="490"/>
      <c r="O8" s="492"/>
      <c r="P8" s="297"/>
      <c r="Q8" s="492"/>
      <c r="R8" s="297"/>
      <c r="S8" s="297"/>
      <c r="T8" s="297"/>
      <c r="U8" s="491"/>
      <c r="V8" s="495"/>
      <c r="W8" s="358"/>
      <c r="X8" s="490"/>
      <c r="Y8" s="493"/>
      <c r="Z8" s="297"/>
      <c r="AA8" s="494"/>
      <c r="AB8" s="297"/>
      <c r="AC8" s="297"/>
      <c r="AD8" s="297"/>
      <c r="AE8" s="491"/>
      <c r="AF8" s="358"/>
      <c r="AH8" s="490"/>
      <c r="AI8" s="492"/>
      <c r="AJ8" s="297"/>
      <c r="AK8" s="492"/>
      <c r="AL8" s="297"/>
      <c r="AM8" s="297"/>
      <c r="AN8" s="297"/>
      <c r="AO8" s="491"/>
      <c r="AP8" s="495"/>
      <c r="AQ8" s="358"/>
      <c r="AR8" s="490"/>
      <c r="AS8" s="493"/>
      <c r="AT8" s="297"/>
      <c r="AU8" s="494"/>
      <c r="AV8" s="297"/>
      <c r="AW8" s="297"/>
      <c r="AX8" s="297"/>
      <c r="AY8" s="491"/>
      <c r="AZ8" s="358"/>
      <c r="BA8" s="358"/>
    </row>
    <row r="9" spans="1:61" x14ac:dyDescent="0.45">
      <c r="A9" s="498"/>
      <c r="B9" s="513"/>
      <c r="C9" s="499"/>
      <c r="D9" s="499"/>
      <c r="E9" s="498"/>
      <c r="F9" s="498"/>
      <c r="G9" s="498"/>
      <c r="H9" s="498"/>
      <c r="I9" s="498"/>
      <c r="J9" s="498"/>
      <c r="K9" s="498"/>
      <c r="L9" s="498"/>
      <c r="M9" s="500"/>
      <c r="N9" s="501"/>
      <c r="O9" s="511"/>
      <c r="P9" s="502"/>
      <c r="Q9" s="511"/>
      <c r="R9" s="502"/>
      <c r="S9" s="502"/>
      <c r="T9" s="502"/>
      <c r="U9" s="503"/>
      <c r="V9" s="508"/>
      <c r="W9" s="504"/>
      <c r="X9" s="501"/>
      <c r="Y9" s="510"/>
      <c r="Z9" s="502"/>
      <c r="AA9" s="509"/>
      <c r="AB9" s="502"/>
      <c r="AC9" s="502"/>
      <c r="AD9" s="502"/>
      <c r="AE9" s="503"/>
      <c r="AF9" s="504"/>
      <c r="AG9" s="500"/>
      <c r="AH9" s="501"/>
      <c r="AI9" s="511"/>
      <c r="AJ9" s="502"/>
      <c r="AK9" s="511"/>
      <c r="AL9" s="502"/>
      <c r="AM9" s="502"/>
      <c r="AN9" s="502"/>
      <c r="AO9" s="503"/>
      <c r="AP9" s="508"/>
      <c r="AQ9" s="504"/>
      <c r="AR9" s="501"/>
      <c r="AS9" s="510"/>
      <c r="AT9" s="502"/>
      <c r="AU9" s="509"/>
      <c r="AV9" s="502"/>
      <c r="AW9" s="502"/>
      <c r="AX9" s="502"/>
      <c r="AY9" s="503"/>
      <c r="AZ9" s="504"/>
      <c r="BA9" s="504"/>
    </row>
    <row r="10" spans="1:61" x14ac:dyDescent="0.45">
      <c r="A10" s="18"/>
      <c r="B10" s="512"/>
      <c r="C10" s="489"/>
      <c r="D10" s="489"/>
      <c r="E10" s="18"/>
      <c r="F10" s="18"/>
      <c r="G10" s="18"/>
      <c r="H10" s="18"/>
      <c r="I10" s="18"/>
      <c r="J10" s="18"/>
      <c r="K10" s="18"/>
      <c r="L10" s="18"/>
      <c r="N10" s="490"/>
      <c r="O10" s="492"/>
      <c r="P10" s="297"/>
      <c r="Q10" s="492"/>
      <c r="R10" s="297"/>
      <c r="S10" s="297"/>
      <c r="T10" s="297"/>
      <c r="U10" s="491"/>
      <c r="V10" s="495"/>
      <c r="W10" s="358"/>
      <c r="X10" s="490"/>
      <c r="Y10" s="493"/>
      <c r="Z10" s="297"/>
      <c r="AA10" s="494"/>
      <c r="AB10" s="297"/>
      <c r="AC10" s="297"/>
      <c r="AD10" s="297"/>
      <c r="AE10" s="491"/>
      <c r="AF10" s="358"/>
      <c r="AH10" s="490"/>
      <c r="AI10" s="492"/>
      <c r="AJ10" s="297"/>
      <c r="AK10" s="492"/>
      <c r="AL10" s="297"/>
      <c r="AM10" s="297"/>
      <c r="AN10" s="297"/>
      <c r="AO10" s="491"/>
      <c r="AP10" s="495"/>
      <c r="AQ10" s="358"/>
      <c r="AR10" s="490"/>
      <c r="AS10" s="493"/>
      <c r="AT10" s="297"/>
      <c r="AU10" s="494"/>
      <c r="AV10" s="297"/>
      <c r="AW10" s="297"/>
      <c r="AX10" s="297"/>
      <c r="AY10" s="491"/>
      <c r="AZ10" s="358"/>
      <c r="BA10" s="358"/>
    </row>
    <row r="11" spans="1:61" x14ac:dyDescent="0.45">
      <c r="A11" s="18"/>
      <c r="B11" s="512"/>
      <c r="C11" s="489"/>
      <c r="D11" s="489"/>
      <c r="E11" s="18"/>
      <c r="F11" s="18"/>
      <c r="G11" s="18"/>
      <c r="H11" s="18"/>
      <c r="I11" s="18"/>
      <c r="J11" s="18"/>
      <c r="K11" s="18"/>
      <c r="L11" s="18"/>
      <c r="N11" s="490"/>
      <c r="O11" s="492"/>
      <c r="P11" s="297"/>
      <c r="Q11" s="492"/>
      <c r="R11" s="297"/>
      <c r="S11" s="297"/>
      <c r="T11" s="297"/>
      <c r="U11" s="491"/>
      <c r="V11" s="495"/>
      <c r="W11" s="358"/>
      <c r="X11" s="490"/>
      <c r="Y11" s="493"/>
      <c r="Z11" s="297"/>
      <c r="AA11" s="494"/>
      <c r="AB11" s="297"/>
      <c r="AC11" s="297"/>
      <c r="AD11" s="297"/>
      <c r="AE11" s="491"/>
      <c r="AF11" s="358"/>
      <c r="AH11" s="490"/>
      <c r="AI11" s="492"/>
      <c r="AJ11" s="297"/>
      <c r="AK11" s="492"/>
      <c r="AL11" s="297"/>
      <c r="AM11" s="297"/>
      <c r="AN11" s="297"/>
      <c r="AO11" s="491"/>
      <c r="AP11" s="495"/>
      <c r="AQ11" s="358"/>
      <c r="AR11" s="490"/>
      <c r="AS11" s="493"/>
      <c r="AT11" s="297"/>
      <c r="AU11" s="494"/>
      <c r="AV11" s="297"/>
      <c r="AW11" s="297"/>
      <c r="AX11" s="297"/>
      <c r="AY11" s="491"/>
      <c r="AZ11" s="358"/>
      <c r="BA11" s="358"/>
    </row>
    <row r="12" spans="1:61" x14ac:dyDescent="0.45">
      <c r="A12" s="18"/>
      <c r="B12" s="512"/>
      <c r="C12" s="489"/>
      <c r="D12" s="489"/>
      <c r="E12" s="18"/>
      <c r="F12" s="18"/>
      <c r="G12" s="18"/>
      <c r="H12" s="18"/>
      <c r="I12" s="18"/>
      <c r="J12" s="18"/>
      <c r="K12" s="18"/>
      <c r="L12" s="18"/>
      <c r="N12" s="490"/>
      <c r="O12" s="492"/>
      <c r="P12" s="297"/>
      <c r="Q12" s="492"/>
      <c r="R12" s="297"/>
      <c r="S12" s="297"/>
      <c r="T12" s="297"/>
      <c r="U12" s="491"/>
      <c r="V12" s="495"/>
      <c r="W12" s="358"/>
      <c r="X12" s="490"/>
      <c r="Y12" s="493"/>
      <c r="Z12" s="297"/>
      <c r="AA12" s="494"/>
      <c r="AB12" s="297"/>
      <c r="AC12" s="297"/>
      <c r="AD12" s="297"/>
      <c r="AE12" s="491"/>
      <c r="AF12" s="358"/>
      <c r="AH12" s="490"/>
      <c r="AI12" s="492"/>
      <c r="AJ12" s="297"/>
      <c r="AK12" s="492"/>
      <c r="AL12" s="297"/>
      <c r="AM12" s="297"/>
      <c r="AN12" s="297"/>
      <c r="AO12" s="491"/>
      <c r="AP12" s="495"/>
      <c r="AQ12" s="358"/>
      <c r="AR12" s="490"/>
      <c r="AS12" s="493"/>
      <c r="AT12" s="297"/>
      <c r="AU12" s="494"/>
      <c r="AV12" s="297"/>
      <c r="AW12" s="297"/>
      <c r="AX12" s="297"/>
      <c r="AY12" s="491"/>
      <c r="AZ12" s="358"/>
      <c r="BA12" s="358"/>
    </row>
    <row r="13" spans="1:61" x14ac:dyDescent="0.45">
      <c r="A13" s="18"/>
      <c r="B13" s="512"/>
      <c r="C13" s="489"/>
      <c r="D13" s="489"/>
      <c r="E13" s="18"/>
      <c r="F13" s="18"/>
      <c r="G13" s="18"/>
      <c r="H13" s="18"/>
      <c r="I13" s="18"/>
      <c r="J13" s="18"/>
      <c r="K13" s="18"/>
      <c r="L13" s="18"/>
      <c r="N13" s="490"/>
      <c r="O13" s="492"/>
      <c r="P13" s="297"/>
      <c r="Q13" s="492"/>
      <c r="R13" s="297"/>
      <c r="S13" s="297"/>
      <c r="T13" s="297"/>
      <c r="U13" s="491"/>
      <c r="V13" s="495"/>
      <c r="W13" s="358"/>
      <c r="X13" s="490"/>
      <c r="Y13" s="493"/>
      <c r="Z13" s="297"/>
      <c r="AA13" s="494"/>
      <c r="AB13" s="297"/>
      <c r="AC13" s="297"/>
      <c r="AD13" s="297"/>
      <c r="AE13" s="491"/>
      <c r="AF13" s="358"/>
      <c r="AH13" s="490"/>
      <c r="AI13" s="492"/>
      <c r="AJ13" s="297"/>
      <c r="AK13" s="492"/>
      <c r="AL13" s="297"/>
      <c r="AM13" s="297"/>
      <c r="AN13" s="297"/>
      <c r="AO13" s="491"/>
      <c r="AP13" s="495"/>
      <c r="AQ13" s="358"/>
      <c r="AR13" s="490"/>
      <c r="AS13" s="493"/>
      <c r="AT13" s="297"/>
      <c r="AU13" s="494"/>
      <c r="AV13" s="297"/>
      <c r="AW13" s="297"/>
      <c r="AX13" s="297"/>
      <c r="AY13" s="491"/>
      <c r="AZ13" s="358"/>
      <c r="BA13" s="358"/>
    </row>
    <row r="14" spans="1:61" x14ac:dyDescent="0.45">
      <c r="A14" s="18"/>
      <c r="B14" s="512"/>
      <c r="C14" s="489"/>
      <c r="D14" s="489"/>
      <c r="E14" s="18"/>
      <c r="F14" s="18"/>
      <c r="G14" s="18"/>
      <c r="H14" s="18"/>
      <c r="I14" s="18"/>
      <c r="J14" s="18"/>
      <c r="K14" s="18"/>
      <c r="L14" s="18"/>
      <c r="N14" s="490"/>
      <c r="O14" s="492"/>
      <c r="P14" s="297"/>
      <c r="Q14" s="492"/>
      <c r="R14" s="297"/>
      <c r="S14" s="297"/>
      <c r="T14" s="297"/>
      <c r="U14" s="491"/>
      <c r="V14" s="495"/>
      <c r="W14" s="358"/>
      <c r="X14" s="490"/>
      <c r="Y14" s="493"/>
      <c r="Z14" s="297"/>
      <c r="AA14" s="494"/>
      <c r="AB14" s="297"/>
      <c r="AC14" s="297"/>
      <c r="AD14" s="297"/>
      <c r="AE14" s="491"/>
      <c r="AF14" s="358"/>
      <c r="AH14" s="490"/>
      <c r="AI14" s="492"/>
      <c r="AJ14" s="297"/>
      <c r="AK14" s="492"/>
      <c r="AL14" s="297"/>
      <c r="AM14" s="297"/>
      <c r="AN14" s="297"/>
      <c r="AO14" s="491"/>
      <c r="AP14" s="495"/>
      <c r="AQ14" s="358"/>
      <c r="AR14" s="490"/>
      <c r="AS14" s="493"/>
      <c r="AT14" s="297"/>
      <c r="AU14" s="494"/>
      <c r="AV14" s="297"/>
      <c r="AW14" s="297"/>
      <c r="AX14" s="297"/>
      <c r="AY14" s="491"/>
      <c r="AZ14" s="358"/>
      <c r="BA14" s="358"/>
    </row>
    <row r="15" spans="1:61" x14ac:dyDescent="0.45">
      <c r="A15" s="498"/>
      <c r="B15" s="513"/>
      <c r="C15" s="499"/>
      <c r="D15" s="499"/>
      <c r="E15" s="498"/>
      <c r="F15" s="498"/>
      <c r="G15" s="498"/>
      <c r="H15" s="498"/>
      <c r="I15" s="498"/>
      <c r="J15" s="498"/>
      <c r="K15" s="498"/>
      <c r="L15" s="498"/>
      <c r="M15" s="500"/>
      <c r="N15" s="501"/>
      <c r="O15" s="511"/>
      <c r="P15" s="502"/>
      <c r="Q15" s="511"/>
      <c r="R15" s="502"/>
      <c r="S15" s="502"/>
      <c r="T15" s="502"/>
      <c r="U15" s="503"/>
      <c r="V15" s="508"/>
      <c r="W15" s="504"/>
      <c r="X15" s="501"/>
      <c r="Y15" s="510"/>
      <c r="Z15" s="502"/>
      <c r="AA15" s="509"/>
      <c r="AB15" s="502"/>
      <c r="AC15" s="502"/>
      <c r="AD15" s="502"/>
      <c r="AE15" s="503"/>
      <c r="AF15" s="504"/>
      <c r="AG15" s="500"/>
      <c r="AH15" s="501"/>
      <c r="AI15" s="511"/>
      <c r="AJ15" s="502"/>
      <c r="AK15" s="511"/>
      <c r="AL15" s="502"/>
      <c r="AM15" s="502"/>
      <c r="AN15" s="502"/>
      <c r="AO15" s="503"/>
      <c r="AP15" s="508"/>
      <c r="AQ15" s="504"/>
      <c r="AR15" s="501"/>
      <c r="AS15" s="510"/>
      <c r="AT15" s="502"/>
      <c r="AU15" s="509"/>
      <c r="AV15" s="502"/>
      <c r="AW15" s="502"/>
      <c r="AX15" s="502"/>
      <c r="AY15" s="503"/>
      <c r="AZ15" s="504"/>
      <c r="BA15" s="504"/>
    </row>
    <row r="16" spans="1:61" x14ac:dyDescent="0.45">
      <c r="A16" s="18"/>
      <c r="B16" s="512"/>
      <c r="C16" s="489"/>
      <c r="D16" s="489"/>
      <c r="E16" s="18"/>
      <c r="F16" s="18"/>
      <c r="G16" s="18"/>
      <c r="H16" s="18"/>
      <c r="I16" s="18"/>
      <c r="J16" s="18"/>
      <c r="K16" s="18"/>
      <c r="L16" s="18"/>
      <c r="N16" s="490"/>
      <c r="O16" s="492"/>
      <c r="P16" s="297"/>
      <c r="Q16" s="492"/>
      <c r="R16" s="297"/>
      <c r="S16" s="297"/>
      <c r="T16" s="297"/>
      <c r="U16" s="491"/>
      <c r="V16" s="495"/>
      <c r="W16" s="358"/>
      <c r="X16" s="490"/>
      <c r="Y16" s="493"/>
      <c r="Z16" s="297"/>
      <c r="AA16" s="494"/>
      <c r="AB16" s="297"/>
      <c r="AC16" s="297"/>
      <c r="AD16" s="297"/>
      <c r="AE16" s="491"/>
      <c r="AF16" s="358"/>
      <c r="AH16" s="490"/>
      <c r="AI16" s="492"/>
      <c r="AJ16" s="297"/>
      <c r="AK16" s="492"/>
      <c r="AL16" s="297"/>
      <c r="AM16" s="297"/>
      <c r="AN16" s="297"/>
      <c r="AO16" s="491"/>
      <c r="AP16" s="495"/>
      <c r="AQ16" s="358"/>
      <c r="AR16" s="490"/>
      <c r="AS16" s="493"/>
      <c r="AT16" s="297"/>
      <c r="AU16" s="494"/>
      <c r="AV16" s="297"/>
      <c r="AW16" s="297"/>
      <c r="AX16" s="297"/>
      <c r="AY16" s="491"/>
      <c r="AZ16" s="358"/>
      <c r="BA16" s="358"/>
    </row>
    <row r="17" spans="1:53" x14ac:dyDescent="0.45">
      <c r="A17" s="18"/>
      <c r="B17" s="512"/>
      <c r="C17" s="489"/>
      <c r="D17" s="489"/>
      <c r="E17" s="18"/>
      <c r="F17" s="18"/>
      <c r="G17" s="18"/>
      <c r="H17" s="18"/>
      <c r="I17" s="18"/>
      <c r="J17" s="18"/>
      <c r="K17" s="18"/>
      <c r="L17" s="18"/>
      <c r="N17" s="490"/>
      <c r="O17" s="492"/>
      <c r="P17" s="297"/>
      <c r="Q17" s="492"/>
      <c r="R17" s="297"/>
      <c r="S17" s="297"/>
      <c r="T17" s="297"/>
      <c r="U17" s="491"/>
      <c r="V17" s="495"/>
      <c r="W17" s="358"/>
      <c r="X17" s="490"/>
      <c r="Y17" s="493"/>
      <c r="Z17" s="297"/>
      <c r="AA17" s="494"/>
      <c r="AB17" s="297"/>
      <c r="AC17" s="297"/>
      <c r="AD17" s="297"/>
      <c r="AE17" s="491"/>
      <c r="AF17" s="358"/>
      <c r="AH17" s="490"/>
      <c r="AI17" s="492"/>
      <c r="AJ17" s="297"/>
      <c r="AK17" s="492"/>
      <c r="AL17" s="297"/>
      <c r="AM17" s="297"/>
      <c r="AN17" s="297"/>
      <c r="AO17" s="491"/>
      <c r="AP17" s="495"/>
      <c r="AQ17" s="358"/>
      <c r="AR17" s="490"/>
      <c r="AS17" s="493"/>
      <c r="AT17" s="297"/>
      <c r="AU17" s="494"/>
      <c r="AV17" s="297"/>
      <c r="AW17" s="297"/>
      <c r="AX17" s="297"/>
      <c r="AY17" s="491"/>
      <c r="AZ17" s="358"/>
      <c r="BA17" s="358"/>
    </row>
    <row r="18" spans="1:53" x14ac:dyDescent="0.45">
      <c r="A18" s="18"/>
      <c r="B18" s="512"/>
      <c r="C18" s="489"/>
      <c r="D18" s="489"/>
      <c r="E18" s="18"/>
      <c r="F18" s="18"/>
      <c r="G18" s="18"/>
      <c r="H18" s="18"/>
      <c r="I18" s="18"/>
      <c r="J18" s="18"/>
      <c r="K18" s="18"/>
      <c r="L18" s="18"/>
      <c r="N18" s="490"/>
      <c r="O18" s="492"/>
      <c r="P18" s="297"/>
      <c r="Q18" s="492"/>
      <c r="R18" s="297"/>
      <c r="S18" s="297"/>
      <c r="T18" s="297"/>
      <c r="U18" s="491"/>
      <c r="V18" s="495"/>
      <c r="W18" s="358"/>
      <c r="X18" s="490"/>
      <c r="Y18" s="493"/>
      <c r="Z18" s="297"/>
      <c r="AA18" s="494"/>
      <c r="AB18" s="297"/>
      <c r="AC18" s="297"/>
      <c r="AD18" s="297"/>
      <c r="AE18" s="491"/>
      <c r="AF18" s="358"/>
      <c r="AH18" s="490"/>
      <c r="AI18" s="492"/>
      <c r="AJ18" s="297"/>
      <c r="AK18" s="492"/>
      <c r="AL18" s="297"/>
      <c r="AM18" s="297"/>
      <c r="AN18" s="297"/>
      <c r="AO18" s="491"/>
      <c r="AP18" s="495"/>
      <c r="AQ18" s="358"/>
      <c r="AR18" s="490"/>
      <c r="AS18" s="493"/>
      <c r="AT18" s="297"/>
      <c r="AU18" s="494"/>
      <c r="AV18" s="297"/>
      <c r="AW18" s="297"/>
      <c r="AX18" s="297"/>
      <c r="AY18" s="491"/>
      <c r="AZ18" s="358"/>
      <c r="BA18" s="358"/>
    </row>
    <row r="19" spans="1:53" x14ac:dyDescent="0.45">
      <c r="A19" s="18"/>
      <c r="B19" s="512"/>
      <c r="C19" s="489"/>
      <c r="D19" s="489"/>
      <c r="E19" s="18"/>
      <c r="F19" s="18"/>
      <c r="G19" s="18"/>
      <c r="H19" s="18"/>
      <c r="I19" s="18"/>
      <c r="J19" s="18"/>
      <c r="K19" s="18"/>
      <c r="L19" s="18"/>
      <c r="N19" s="490"/>
      <c r="O19" s="492"/>
      <c r="P19" s="297"/>
      <c r="Q19" s="492"/>
      <c r="R19" s="297"/>
      <c r="S19" s="297"/>
      <c r="T19" s="297"/>
      <c r="U19" s="491"/>
      <c r="V19" s="495"/>
      <c r="W19" s="358"/>
      <c r="X19" s="490"/>
      <c r="Y19" s="493"/>
      <c r="Z19" s="297"/>
      <c r="AA19" s="494"/>
      <c r="AB19" s="297"/>
      <c r="AC19" s="297"/>
      <c r="AD19" s="297"/>
      <c r="AE19" s="491"/>
      <c r="AF19" s="358"/>
      <c r="AH19" s="490"/>
      <c r="AI19" s="492"/>
      <c r="AJ19" s="297"/>
      <c r="AK19" s="492"/>
      <c r="AL19" s="297"/>
      <c r="AM19" s="297"/>
      <c r="AN19" s="297"/>
      <c r="AO19" s="491"/>
      <c r="AP19" s="495"/>
      <c r="AQ19" s="358"/>
      <c r="AR19" s="490"/>
      <c r="AS19" s="493"/>
      <c r="AT19" s="297"/>
      <c r="AU19" s="494"/>
      <c r="AV19" s="297"/>
      <c r="AW19" s="297"/>
      <c r="AX19" s="297"/>
      <c r="AY19" s="491"/>
      <c r="AZ19" s="358"/>
      <c r="BA19" s="358"/>
    </row>
    <row r="20" spans="1:53" x14ac:dyDescent="0.45">
      <c r="A20" s="18"/>
      <c r="B20" s="512"/>
      <c r="C20" s="489"/>
      <c r="D20" s="489"/>
      <c r="E20" s="18"/>
      <c r="F20" s="18"/>
      <c r="G20" s="18"/>
      <c r="H20" s="18"/>
      <c r="I20" s="18"/>
      <c r="J20" s="18"/>
      <c r="K20" s="18"/>
      <c r="L20" s="18"/>
      <c r="N20" s="490"/>
      <c r="O20" s="492"/>
      <c r="P20" s="297"/>
      <c r="Q20" s="492"/>
      <c r="R20" s="297"/>
      <c r="S20" s="297"/>
      <c r="T20" s="297"/>
      <c r="U20" s="491"/>
      <c r="V20" s="495"/>
      <c r="W20" s="358"/>
      <c r="X20" s="490"/>
      <c r="Y20" s="493"/>
      <c r="Z20" s="297"/>
      <c r="AA20" s="494"/>
      <c r="AB20" s="297"/>
      <c r="AC20" s="297"/>
      <c r="AD20" s="297"/>
      <c r="AE20" s="491"/>
      <c r="AF20" s="358"/>
      <c r="AH20" s="490"/>
      <c r="AI20" s="492"/>
      <c r="AJ20" s="297"/>
      <c r="AK20" s="492"/>
      <c r="AL20" s="297"/>
      <c r="AM20" s="297"/>
      <c r="AN20" s="297"/>
      <c r="AO20" s="491"/>
      <c r="AP20" s="495"/>
      <c r="AQ20" s="358"/>
      <c r="AR20" s="490"/>
      <c r="AS20" s="493"/>
      <c r="AT20" s="297"/>
      <c r="AU20" s="494"/>
      <c r="AV20" s="297"/>
      <c r="AW20" s="297"/>
      <c r="AX20" s="297"/>
      <c r="AY20" s="491"/>
      <c r="AZ20" s="358"/>
      <c r="BA20" s="358"/>
    </row>
    <row r="21" spans="1:53" x14ac:dyDescent="0.45">
      <c r="A21" s="498"/>
      <c r="B21" s="513"/>
      <c r="C21" s="499"/>
      <c r="D21" s="499"/>
      <c r="E21" s="498"/>
      <c r="F21" s="498"/>
      <c r="G21" s="498"/>
      <c r="H21" s="498"/>
      <c r="I21" s="498"/>
      <c r="J21" s="498"/>
      <c r="K21" s="498"/>
      <c r="L21" s="498"/>
      <c r="M21" s="500"/>
      <c r="N21" s="501"/>
      <c r="O21" s="511"/>
      <c r="P21" s="502"/>
      <c r="Q21" s="511"/>
      <c r="R21" s="502"/>
      <c r="S21" s="502"/>
      <c r="T21" s="502"/>
      <c r="U21" s="503"/>
      <c r="V21" s="508"/>
      <c r="W21" s="504"/>
      <c r="X21" s="501"/>
      <c r="Y21" s="510"/>
      <c r="Z21" s="502"/>
      <c r="AA21" s="509"/>
      <c r="AB21" s="502"/>
      <c r="AC21" s="502"/>
      <c r="AD21" s="502"/>
      <c r="AE21" s="503"/>
      <c r="AF21" s="504"/>
      <c r="AG21" s="500"/>
      <c r="AH21" s="501"/>
      <c r="AI21" s="511"/>
      <c r="AJ21" s="502"/>
      <c r="AK21" s="511"/>
      <c r="AL21" s="502"/>
      <c r="AM21" s="502"/>
      <c r="AN21" s="502"/>
      <c r="AO21" s="503"/>
      <c r="AP21" s="508"/>
      <c r="AQ21" s="504"/>
      <c r="AR21" s="501"/>
      <c r="AS21" s="510"/>
      <c r="AT21" s="502"/>
      <c r="AU21" s="509"/>
      <c r="AV21" s="502"/>
      <c r="AW21" s="502"/>
      <c r="AX21" s="502"/>
      <c r="AY21" s="503"/>
      <c r="AZ21" s="504"/>
      <c r="BA21" s="504"/>
    </row>
    <row r="22" spans="1:53" x14ac:dyDescent="0.45">
      <c r="A22" s="18"/>
      <c r="B22" s="512"/>
      <c r="C22" s="489"/>
      <c r="D22" s="489"/>
      <c r="E22" s="18"/>
      <c r="F22" s="18"/>
      <c r="G22" s="18"/>
      <c r="H22" s="18"/>
      <c r="I22" s="18"/>
      <c r="J22" s="18"/>
      <c r="K22" s="18"/>
      <c r="L22" s="18"/>
      <c r="N22" s="490"/>
      <c r="O22" s="492"/>
      <c r="P22" s="297"/>
      <c r="Q22" s="492"/>
      <c r="R22" s="297"/>
      <c r="S22" s="297"/>
      <c r="T22" s="297"/>
      <c r="U22" s="491"/>
      <c r="V22" s="495"/>
      <c r="W22" s="358"/>
      <c r="X22" s="490"/>
      <c r="Y22" s="493"/>
      <c r="Z22" s="297"/>
      <c r="AA22" s="494"/>
      <c r="AB22" s="297"/>
      <c r="AC22" s="297"/>
      <c r="AD22" s="297"/>
      <c r="AE22" s="491"/>
      <c r="AF22" s="358"/>
      <c r="AH22" s="490"/>
      <c r="AI22" s="492"/>
      <c r="AJ22" s="297"/>
      <c r="AK22" s="492"/>
      <c r="AL22" s="297"/>
      <c r="AM22" s="297"/>
      <c r="AN22" s="297"/>
      <c r="AO22" s="491"/>
      <c r="AP22" s="495"/>
      <c r="AQ22" s="358"/>
      <c r="AR22" s="490"/>
      <c r="AS22" s="493"/>
      <c r="AT22" s="297"/>
      <c r="AU22" s="494"/>
      <c r="AV22" s="297"/>
      <c r="AW22" s="297"/>
      <c r="AX22" s="297"/>
      <c r="AY22" s="491"/>
      <c r="AZ22" s="358"/>
      <c r="BA22" s="358"/>
    </row>
    <row r="23" spans="1:53" x14ac:dyDescent="0.45">
      <c r="A23" s="18"/>
      <c r="B23" s="512"/>
      <c r="C23" s="489"/>
      <c r="D23" s="489"/>
      <c r="E23" s="18"/>
      <c r="F23" s="18"/>
      <c r="G23" s="18"/>
      <c r="H23" s="18"/>
      <c r="I23" s="18"/>
      <c r="J23" s="18"/>
      <c r="K23" s="18"/>
      <c r="L23" s="18"/>
      <c r="N23" s="490"/>
      <c r="O23" s="492"/>
      <c r="P23" s="297"/>
      <c r="Q23" s="492"/>
      <c r="R23" s="297"/>
      <c r="S23" s="297"/>
      <c r="T23" s="297"/>
      <c r="U23" s="491"/>
      <c r="V23" s="495"/>
      <c r="W23" s="358"/>
      <c r="X23" s="490"/>
      <c r="Y23" s="493"/>
      <c r="Z23" s="297"/>
      <c r="AA23" s="494"/>
      <c r="AB23" s="297"/>
      <c r="AC23" s="297"/>
      <c r="AD23" s="297"/>
      <c r="AE23" s="491"/>
      <c r="AF23" s="358"/>
      <c r="AH23" s="490"/>
      <c r="AI23" s="492"/>
      <c r="AJ23" s="297"/>
      <c r="AK23" s="492"/>
      <c r="AL23" s="297"/>
      <c r="AM23" s="297"/>
      <c r="AN23" s="297"/>
      <c r="AO23" s="491"/>
      <c r="AP23" s="495"/>
      <c r="AQ23" s="358"/>
      <c r="AR23" s="490"/>
      <c r="AS23" s="493"/>
      <c r="AT23" s="297"/>
      <c r="AU23" s="494"/>
      <c r="AV23" s="297"/>
      <c r="AW23" s="297"/>
      <c r="AX23" s="297"/>
      <c r="AY23" s="491"/>
      <c r="AZ23" s="358"/>
      <c r="BA23" s="358"/>
    </row>
    <row r="24" spans="1:53" x14ac:dyDescent="0.45">
      <c r="A24" s="18"/>
      <c r="B24" s="512"/>
      <c r="C24" s="489"/>
      <c r="D24" s="489"/>
      <c r="E24" s="18"/>
      <c r="F24" s="18"/>
      <c r="G24" s="18"/>
      <c r="H24" s="18"/>
      <c r="I24" s="18"/>
      <c r="J24" s="18"/>
      <c r="K24" s="18"/>
      <c r="L24" s="18"/>
      <c r="N24" s="490"/>
      <c r="O24" s="492"/>
      <c r="P24" s="297"/>
      <c r="Q24" s="492"/>
      <c r="R24" s="297"/>
      <c r="S24" s="297"/>
      <c r="T24" s="297"/>
      <c r="U24" s="491"/>
      <c r="V24" s="495"/>
      <c r="W24" s="358"/>
      <c r="X24" s="490"/>
      <c r="Y24" s="493"/>
      <c r="Z24" s="297"/>
      <c r="AA24" s="494"/>
      <c r="AB24" s="297"/>
      <c r="AC24" s="297"/>
      <c r="AD24" s="297"/>
      <c r="AE24" s="491"/>
      <c r="AF24" s="358"/>
      <c r="AH24" s="490"/>
      <c r="AI24" s="492"/>
      <c r="AJ24" s="297"/>
      <c r="AK24" s="492"/>
      <c r="AL24" s="297"/>
      <c r="AM24" s="297"/>
      <c r="AN24" s="297"/>
      <c r="AO24" s="491"/>
      <c r="AP24" s="495"/>
      <c r="AQ24" s="358"/>
      <c r="AR24" s="490"/>
      <c r="AS24" s="493"/>
      <c r="AT24" s="297"/>
      <c r="AU24" s="494"/>
      <c r="AV24" s="297"/>
      <c r="AW24" s="297"/>
      <c r="AX24" s="297"/>
      <c r="AY24" s="491"/>
      <c r="AZ24" s="358"/>
      <c r="BA24" s="358"/>
    </row>
    <row r="25" spans="1:53" x14ac:dyDescent="0.45">
      <c r="A25" s="18"/>
      <c r="B25" s="512"/>
      <c r="C25" s="489"/>
      <c r="D25" s="489"/>
      <c r="E25" s="18"/>
      <c r="F25" s="18"/>
      <c r="G25" s="18"/>
      <c r="H25" s="18"/>
      <c r="I25" s="18"/>
      <c r="J25" s="18"/>
      <c r="K25" s="18"/>
      <c r="L25" s="18"/>
      <c r="N25" s="490"/>
      <c r="O25" s="492"/>
      <c r="P25" s="297"/>
      <c r="Q25" s="492"/>
      <c r="R25" s="297"/>
      <c r="S25" s="297"/>
      <c r="T25" s="297"/>
      <c r="U25" s="491"/>
      <c r="V25" s="495"/>
      <c r="W25" s="358"/>
      <c r="X25" s="490"/>
      <c r="Y25" s="493"/>
      <c r="Z25" s="297"/>
      <c r="AA25" s="494"/>
      <c r="AB25" s="297"/>
      <c r="AC25" s="297"/>
      <c r="AD25" s="297"/>
      <c r="AE25" s="491"/>
      <c r="AF25" s="358"/>
      <c r="AH25" s="490"/>
      <c r="AI25" s="492"/>
      <c r="AJ25" s="297"/>
      <c r="AK25" s="492"/>
      <c r="AL25" s="297"/>
      <c r="AM25" s="297"/>
      <c r="AN25" s="297"/>
      <c r="AO25" s="491"/>
      <c r="AP25" s="495"/>
      <c r="AQ25" s="358"/>
      <c r="AR25" s="490"/>
      <c r="AS25" s="493"/>
      <c r="AT25" s="297"/>
      <c r="AU25" s="494"/>
      <c r="AV25" s="297"/>
      <c r="AW25" s="297"/>
      <c r="AX25" s="297"/>
      <c r="AY25" s="491"/>
      <c r="AZ25" s="358"/>
      <c r="BA25" s="358"/>
    </row>
    <row r="26" spans="1:53" x14ac:dyDescent="0.45">
      <c r="A26" s="18"/>
      <c r="B26" s="512"/>
      <c r="C26" s="489"/>
      <c r="D26" s="489"/>
      <c r="E26" s="18"/>
      <c r="F26" s="18"/>
      <c r="G26" s="18"/>
      <c r="H26" s="18"/>
      <c r="I26" s="18"/>
      <c r="J26" s="18"/>
      <c r="K26" s="18"/>
      <c r="L26" s="18"/>
      <c r="N26" s="490"/>
      <c r="O26" s="492"/>
      <c r="P26" s="297"/>
      <c r="Q26" s="492"/>
      <c r="R26" s="297"/>
      <c r="S26" s="297"/>
      <c r="T26" s="297"/>
      <c r="U26" s="491"/>
      <c r="V26" s="495"/>
      <c r="W26" s="358"/>
      <c r="X26" s="490"/>
      <c r="Y26" s="493"/>
      <c r="Z26" s="297"/>
      <c r="AA26" s="494"/>
      <c r="AB26" s="297"/>
      <c r="AC26" s="297"/>
      <c r="AD26" s="297"/>
      <c r="AE26" s="491"/>
      <c r="AF26" s="358"/>
      <c r="AH26" s="490"/>
      <c r="AI26" s="492"/>
      <c r="AJ26" s="297"/>
      <c r="AK26" s="492"/>
      <c r="AL26" s="297"/>
      <c r="AM26" s="297"/>
      <c r="AN26" s="297"/>
      <c r="AO26" s="491"/>
      <c r="AP26" s="495"/>
      <c r="AQ26" s="358"/>
      <c r="AR26" s="490"/>
      <c r="AS26" s="493"/>
      <c r="AT26" s="297"/>
      <c r="AU26" s="494"/>
      <c r="AV26" s="297"/>
      <c r="AW26" s="297"/>
      <c r="AX26" s="297"/>
      <c r="AY26" s="491"/>
      <c r="AZ26" s="358"/>
      <c r="BA26" s="358"/>
    </row>
    <row r="27" spans="1:53" x14ac:dyDescent="0.45">
      <c r="A27" s="498"/>
      <c r="B27" s="513"/>
      <c r="C27" s="499"/>
      <c r="D27" s="499"/>
      <c r="E27" s="498"/>
      <c r="F27" s="498"/>
      <c r="G27" s="498"/>
      <c r="H27" s="498"/>
      <c r="I27" s="498"/>
      <c r="J27" s="498"/>
      <c r="K27" s="498"/>
      <c r="L27" s="498"/>
      <c r="M27" s="500"/>
      <c r="N27" s="501"/>
      <c r="O27" s="511"/>
      <c r="P27" s="502"/>
      <c r="Q27" s="511"/>
      <c r="R27" s="502"/>
      <c r="S27" s="502"/>
      <c r="T27" s="502"/>
      <c r="U27" s="503"/>
      <c r="V27" s="508"/>
      <c r="W27" s="504"/>
      <c r="X27" s="501"/>
      <c r="Y27" s="510"/>
      <c r="Z27" s="502"/>
      <c r="AA27" s="509"/>
      <c r="AB27" s="502"/>
      <c r="AC27" s="502"/>
      <c r="AD27" s="502"/>
      <c r="AE27" s="503"/>
      <c r="AF27" s="504"/>
      <c r="AG27" s="500"/>
      <c r="AH27" s="501"/>
      <c r="AI27" s="511"/>
      <c r="AJ27" s="502"/>
      <c r="AK27" s="511"/>
      <c r="AL27" s="502"/>
      <c r="AM27" s="502"/>
      <c r="AN27" s="502"/>
      <c r="AO27" s="503"/>
      <c r="AP27" s="508"/>
      <c r="AQ27" s="504"/>
      <c r="AR27" s="501"/>
      <c r="AS27" s="510"/>
      <c r="AT27" s="502"/>
      <c r="AU27" s="509"/>
      <c r="AV27" s="502"/>
      <c r="AW27" s="502"/>
      <c r="AX27" s="502"/>
      <c r="AY27" s="503"/>
      <c r="AZ27" s="504"/>
      <c r="BA27" s="504"/>
    </row>
    <row r="28" spans="1:53" x14ac:dyDescent="0.45">
      <c r="A28" s="18"/>
      <c r="B28" s="512"/>
      <c r="C28" s="489"/>
      <c r="D28" s="489"/>
      <c r="E28" s="18"/>
      <c r="F28" s="18"/>
      <c r="G28" s="18"/>
      <c r="H28" s="18"/>
      <c r="I28" s="18"/>
      <c r="J28" s="18"/>
      <c r="K28" s="18"/>
      <c r="L28" s="18"/>
      <c r="N28" s="490"/>
      <c r="O28" s="492"/>
      <c r="P28" s="297"/>
      <c r="Q28" s="492"/>
      <c r="R28" s="297"/>
      <c r="S28" s="297"/>
      <c r="T28" s="297"/>
      <c r="U28" s="491"/>
      <c r="V28" s="495"/>
      <c r="W28" s="358"/>
      <c r="X28" s="490"/>
      <c r="Y28" s="493"/>
      <c r="Z28" s="297"/>
      <c r="AA28" s="494"/>
      <c r="AB28" s="297"/>
      <c r="AC28" s="297"/>
      <c r="AD28" s="297"/>
      <c r="AE28" s="491"/>
      <c r="AF28" s="358"/>
      <c r="AH28" s="490"/>
      <c r="AI28" s="492"/>
      <c r="AJ28" s="297"/>
      <c r="AK28" s="492"/>
      <c r="AL28" s="297"/>
      <c r="AM28" s="297"/>
      <c r="AN28" s="297"/>
      <c r="AO28" s="491"/>
      <c r="AP28" s="495"/>
      <c r="AQ28" s="358"/>
      <c r="AR28" s="490"/>
      <c r="AS28" s="493"/>
      <c r="AT28" s="297"/>
      <c r="AU28" s="494"/>
      <c r="AV28" s="297"/>
      <c r="AW28" s="297"/>
      <c r="AX28" s="297"/>
      <c r="AY28" s="491"/>
      <c r="AZ28" s="358"/>
      <c r="BA28" s="358"/>
    </row>
    <row r="29" spans="1:53" x14ac:dyDescent="0.45">
      <c r="A29" s="18"/>
      <c r="B29" s="512"/>
      <c r="C29" s="489"/>
      <c r="D29" s="489"/>
      <c r="E29" s="18"/>
      <c r="F29" s="18"/>
      <c r="G29" s="18"/>
      <c r="H29" s="18"/>
      <c r="I29" s="18"/>
      <c r="J29" s="18"/>
      <c r="K29" s="18"/>
      <c r="L29" s="18"/>
      <c r="N29" s="490"/>
      <c r="O29" s="492"/>
      <c r="P29" s="297"/>
      <c r="Q29" s="492"/>
      <c r="R29" s="297"/>
      <c r="S29" s="297"/>
      <c r="T29" s="297"/>
      <c r="U29" s="491"/>
      <c r="V29" s="495"/>
      <c r="W29" s="358"/>
      <c r="X29" s="490"/>
      <c r="Y29" s="493"/>
      <c r="Z29" s="297"/>
      <c r="AA29" s="494"/>
      <c r="AB29" s="297"/>
      <c r="AC29" s="297"/>
      <c r="AD29" s="297"/>
      <c r="AE29" s="491"/>
      <c r="AF29" s="358"/>
      <c r="AH29" s="490"/>
      <c r="AI29" s="492"/>
      <c r="AJ29" s="297"/>
      <c r="AK29" s="492"/>
      <c r="AL29" s="297"/>
      <c r="AM29" s="297"/>
      <c r="AN29" s="297"/>
      <c r="AO29" s="491"/>
      <c r="AP29" s="495"/>
      <c r="AQ29" s="358"/>
      <c r="AR29" s="490"/>
      <c r="AS29" s="493"/>
      <c r="AT29" s="297"/>
      <c r="AU29" s="494"/>
      <c r="AV29" s="297"/>
      <c r="AW29" s="297"/>
      <c r="AX29" s="297"/>
      <c r="AY29" s="491"/>
      <c r="AZ29" s="358"/>
      <c r="BA29" s="358"/>
    </row>
    <row r="30" spans="1:53" x14ac:dyDescent="0.45">
      <c r="A30" s="18"/>
      <c r="B30" s="512"/>
      <c r="C30" s="489"/>
      <c r="D30" s="489"/>
      <c r="E30" s="18"/>
      <c r="F30" s="18"/>
      <c r="G30" s="18"/>
      <c r="H30" s="18"/>
      <c r="I30" s="18"/>
      <c r="J30" s="18"/>
      <c r="K30" s="18"/>
      <c r="L30" s="18"/>
      <c r="N30" s="490"/>
      <c r="O30" s="492"/>
      <c r="P30" s="297"/>
      <c r="Q30" s="492"/>
      <c r="R30" s="297"/>
      <c r="S30" s="297"/>
      <c r="T30" s="297"/>
      <c r="U30" s="491"/>
      <c r="V30" s="495"/>
      <c r="W30" s="358"/>
      <c r="X30" s="490"/>
      <c r="Y30" s="493"/>
      <c r="Z30" s="297"/>
      <c r="AA30" s="494"/>
      <c r="AB30" s="297"/>
      <c r="AC30" s="297"/>
      <c r="AD30" s="297"/>
      <c r="AE30" s="491"/>
      <c r="AF30" s="358"/>
      <c r="AH30" s="490"/>
      <c r="AI30" s="492"/>
      <c r="AJ30" s="297"/>
      <c r="AK30" s="492"/>
      <c r="AL30" s="297"/>
      <c r="AM30" s="297"/>
      <c r="AN30" s="297"/>
      <c r="AO30" s="491"/>
      <c r="AP30" s="495"/>
      <c r="AQ30" s="358"/>
      <c r="AR30" s="490"/>
      <c r="AS30" s="493"/>
      <c r="AT30" s="297"/>
      <c r="AU30" s="494"/>
      <c r="AV30" s="297"/>
      <c r="AW30" s="297"/>
      <c r="AX30" s="297"/>
      <c r="AY30" s="491"/>
      <c r="AZ30" s="358"/>
      <c r="BA30" s="358"/>
    </row>
    <row r="31" spans="1:53" x14ac:dyDescent="0.45">
      <c r="A31" s="18"/>
      <c r="B31" s="512"/>
      <c r="C31" s="489"/>
      <c r="D31" s="489"/>
      <c r="E31" s="18"/>
      <c r="F31" s="18"/>
      <c r="G31" s="18"/>
      <c r="H31" s="18"/>
      <c r="I31" s="18"/>
      <c r="J31" s="18"/>
      <c r="K31" s="18"/>
      <c r="L31" s="18"/>
      <c r="N31" s="490"/>
      <c r="O31" s="492"/>
      <c r="P31" s="297"/>
      <c r="Q31" s="492"/>
      <c r="R31" s="297"/>
      <c r="S31" s="297"/>
      <c r="T31" s="297"/>
      <c r="U31" s="491"/>
      <c r="V31" s="495"/>
      <c r="W31" s="358"/>
      <c r="X31" s="490"/>
      <c r="Y31" s="493"/>
      <c r="Z31" s="297"/>
      <c r="AA31" s="494"/>
      <c r="AB31" s="297"/>
      <c r="AC31" s="297"/>
      <c r="AD31" s="297"/>
      <c r="AE31" s="491"/>
      <c r="AF31" s="358"/>
      <c r="AH31" s="490"/>
      <c r="AI31" s="492"/>
      <c r="AJ31" s="297"/>
      <c r="AK31" s="492"/>
      <c r="AL31" s="297"/>
      <c r="AM31" s="297"/>
      <c r="AN31" s="297"/>
      <c r="AO31" s="491"/>
      <c r="AP31" s="495"/>
      <c r="AQ31" s="358"/>
      <c r="AR31" s="490"/>
      <c r="AS31" s="493"/>
      <c r="AT31" s="297"/>
      <c r="AU31" s="494"/>
      <c r="AV31" s="297"/>
      <c r="AW31" s="297"/>
      <c r="AX31" s="297"/>
      <c r="AY31" s="491"/>
      <c r="AZ31" s="358"/>
      <c r="BA31" s="358"/>
    </row>
    <row r="32" spans="1:53" x14ac:dyDescent="0.45">
      <c r="A32" s="18"/>
      <c r="B32" s="512"/>
      <c r="C32" s="489"/>
      <c r="D32" s="489"/>
      <c r="E32" s="18"/>
      <c r="F32" s="18"/>
      <c r="G32" s="18"/>
      <c r="H32" s="18"/>
      <c r="I32" s="18"/>
      <c r="J32" s="18"/>
      <c r="K32" s="18"/>
      <c r="L32" s="18"/>
      <c r="N32" s="490"/>
      <c r="O32" s="492"/>
      <c r="P32" s="297"/>
      <c r="Q32" s="492"/>
      <c r="R32" s="297"/>
      <c r="S32" s="297"/>
      <c r="T32" s="297"/>
      <c r="U32" s="491"/>
      <c r="V32" s="495"/>
      <c r="W32" s="358"/>
      <c r="X32" s="490"/>
      <c r="Y32" s="493"/>
      <c r="Z32" s="297"/>
      <c r="AA32" s="494"/>
      <c r="AB32" s="297"/>
      <c r="AC32" s="297"/>
      <c r="AD32" s="297"/>
      <c r="AE32" s="491"/>
      <c r="AF32" s="358"/>
      <c r="AH32" s="490"/>
      <c r="AI32" s="492"/>
      <c r="AJ32" s="297"/>
      <c r="AK32" s="492"/>
      <c r="AL32" s="297"/>
      <c r="AM32" s="297"/>
      <c r="AN32" s="297"/>
      <c r="AO32" s="491"/>
      <c r="AP32" s="495"/>
      <c r="AQ32" s="358"/>
      <c r="AR32" s="490"/>
      <c r="AS32" s="493"/>
      <c r="AT32" s="297"/>
      <c r="AU32" s="494"/>
      <c r="AV32" s="297"/>
      <c r="AW32" s="297"/>
      <c r="AX32" s="297"/>
      <c r="AY32" s="491"/>
      <c r="AZ32" s="358"/>
      <c r="BA32" s="358"/>
    </row>
    <row r="33" spans="1:53" x14ac:dyDescent="0.45">
      <c r="A33" s="498"/>
      <c r="B33" s="513"/>
      <c r="C33" s="499"/>
      <c r="D33" s="499"/>
      <c r="E33" s="498"/>
      <c r="F33" s="498"/>
      <c r="G33" s="498"/>
      <c r="H33" s="498"/>
      <c r="I33" s="498"/>
      <c r="J33" s="498"/>
      <c r="K33" s="498"/>
      <c r="L33" s="498"/>
      <c r="M33" s="500"/>
      <c r="N33" s="501"/>
      <c r="O33" s="511"/>
      <c r="P33" s="502"/>
      <c r="Q33" s="511"/>
      <c r="R33" s="502"/>
      <c r="S33" s="502"/>
      <c r="T33" s="502"/>
      <c r="U33" s="503"/>
      <c r="V33" s="508"/>
      <c r="W33" s="504"/>
      <c r="X33" s="501"/>
      <c r="Y33" s="510"/>
      <c r="Z33" s="502"/>
      <c r="AA33" s="509"/>
      <c r="AB33" s="502"/>
      <c r="AC33" s="502"/>
      <c r="AD33" s="502"/>
      <c r="AE33" s="503"/>
      <c r="AF33" s="504"/>
      <c r="AG33" s="500"/>
      <c r="AH33" s="501"/>
      <c r="AI33" s="511"/>
      <c r="AJ33" s="502"/>
      <c r="AK33" s="511"/>
      <c r="AL33" s="502"/>
      <c r="AM33" s="502"/>
      <c r="AN33" s="502"/>
      <c r="AO33" s="503"/>
      <c r="AP33" s="508"/>
      <c r="AQ33" s="504"/>
      <c r="AR33" s="501"/>
      <c r="AS33" s="510"/>
      <c r="AT33" s="502"/>
      <c r="AU33" s="509"/>
      <c r="AV33" s="502"/>
      <c r="AW33" s="502"/>
      <c r="AX33" s="502"/>
      <c r="AY33" s="503"/>
      <c r="AZ33" s="504"/>
      <c r="BA33" s="504"/>
    </row>
    <row r="34" spans="1:53" x14ac:dyDescent="0.45">
      <c r="A34" s="18"/>
      <c r="B34" s="512"/>
      <c r="C34" s="489"/>
      <c r="D34" s="489"/>
      <c r="E34" s="18"/>
      <c r="F34" s="18"/>
      <c r="G34" s="18"/>
      <c r="H34" s="18"/>
      <c r="I34" s="18"/>
      <c r="J34" s="18"/>
      <c r="K34" s="18"/>
      <c r="L34" s="18"/>
      <c r="N34" s="490"/>
      <c r="O34" s="492"/>
      <c r="P34" s="297"/>
      <c r="Q34" s="492"/>
      <c r="R34" s="297"/>
      <c r="S34" s="297"/>
      <c r="T34" s="297"/>
      <c r="U34" s="491"/>
      <c r="V34" s="495"/>
      <c r="W34" s="358"/>
      <c r="X34" s="490"/>
      <c r="Y34" s="493"/>
      <c r="Z34" s="297"/>
      <c r="AA34" s="494"/>
      <c r="AB34" s="297"/>
      <c r="AC34" s="297"/>
      <c r="AD34" s="297"/>
      <c r="AE34" s="491"/>
      <c r="AF34" s="358"/>
      <c r="AH34" s="490"/>
      <c r="AI34" s="492"/>
      <c r="AJ34" s="297"/>
      <c r="AK34" s="492"/>
      <c r="AL34" s="297"/>
      <c r="AM34" s="297"/>
      <c r="AN34" s="297"/>
      <c r="AO34" s="491"/>
      <c r="AP34" s="495"/>
      <c r="AQ34" s="358"/>
      <c r="AR34" s="490"/>
      <c r="AS34" s="493"/>
      <c r="AT34" s="297"/>
      <c r="AU34" s="494"/>
      <c r="AV34" s="297"/>
      <c r="AW34" s="297"/>
      <c r="AX34" s="297"/>
      <c r="AY34" s="491"/>
      <c r="AZ34" s="358"/>
      <c r="BA34" s="358"/>
    </row>
    <row r="35" spans="1:53" x14ac:dyDescent="0.45">
      <c r="A35" s="18"/>
      <c r="B35" s="512"/>
      <c r="C35" s="489"/>
      <c r="D35" s="489"/>
      <c r="E35" s="18"/>
      <c r="F35" s="18"/>
      <c r="G35" s="18"/>
      <c r="H35" s="18"/>
      <c r="I35" s="18"/>
      <c r="J35" s="18"/>
      <c r="K35" s="18"/>
      <c r="L35" s="18"/>
      <c r="N35" s="490"/>
      <c r="O35" s="492"/>
      <c r="P35" s="297"/>
      <c r="Q35" s="492"/>
      <c r="R35" s="297"/>
      <c r="S35" s="297"/>
      <c r="T35" s="297"/>
      <c r="U35" s="491"/>
      <c r="V35" s="495"/>
      <c r="W35" s="358"/>
      <c r="X35" s="490"/>
      <c r="Y35" s="493"/>
      <c r="Z35" s="297"/>
      <c r="AA35" s="494"/>
      <c r="AB35" s="297"/>
      <c r="AC35" s="297"/>
      <c r="AD35" s="297"/>
      <c r="AE35" s="491"/>
      <c r="AF35" s="358"/>
      <c r="AH35" s="490"/>
      <c r="AI35" s="492"/>
      <c r="AJ35" s="297"/>
      <c r="AK35" s="492"/>
      <c r="AL35" s="297"/>
      <c r="AM35" s="297"/>
      <c r="AN35" s="297"/>
      <c r="AO35" s="491"/>
      <c r="AP35" s="495"/>
      <c r="AQ35" s="358"/>
      <c r="AR35" s="490"/>
      <c r="AS35" s="493"/>
      <c r="AT35" s="297"/>
      <c r="AU35" s="494"/>
      <c r="AV35" s="297"/>
      <c r="AW35" s="297"/>
      <c r="AX35" s="297"/>
      <c r="AY35" s="491"/>
      <c r="AZ35" s="358"/>
      <c r="BA35" s="358"/>
    </row>
    <row r="36" spans="1:53" x14ac:dyDescent="0.45">
      <c r="A36" s="18"/>
      <c r="B36" s="512"/>
      <c r="C36" s="489"/>
      <c r="D36" s="489"/>
      <c r="E36" s="18"/>
      <c r="F36" s="18"/>
      <c r="G36" s="18"/>
      <c r="H36" s="18"/>
      <c r="I36" s="18"/>
      <c r="J36" s="18"/>
      <c r="K36" s="18"/>
      <c r="L36" s="18"/>
      <c r="N36" s="490"/>
      <c r="O36" s="492"/>
      <c r="P36" s="297"/>
      <c r="Q36" s="492"/>
      <c r="R36" s="297"/>
      <c r="S36" s="297"/>
      <c r="T36" s="297"/>
      <c r="U36" s="491"/>
      <c r="V36" s="495"/>
      <c r="W36" s="358"/>
      <c r="X36" s="490"/>
      <c r="Y36" s="493"/>
      <c r="Z36" s="297"/>
      <c r="AA36" s="494"/>
      <c r="AB36" s="297"/>
      <c r="AC36" s="297"/>
      <c r="AD36" s="297"/>
      <c r="AE36" s="491"/>
      <c r="AF36" s="358"/>
      <c r="AH36" s="490"/>
      <c r="AI36" s="492"/>
      <c r="AJ36" s="297"/>
      <c r="AK36" s="492"/>
      <c r="AL36" s="297"/>
      <c r="AM36" s="297"/>
      <c r="AN36" s="297"/>
      <c r="AO36" s="491"/>
      <c r="AP36" s="495"/>
      <c r="AQ36" s="358"/>
      <c r="AR36" s="490"/>
      <c r="AS36" s="493"/>
      <c r="AT36" s="297"/>
      <c r="AU36" s="494"/>
      <c r="AV36" s="297"/>
      <c r="AW36" s="297"/>
      <c r="AX36" s="297"/>
      <c r="AY36" s="491"/>
      <c r="AZ36" s="358"/>
      <c r="BA36" s="358"/>
    </row>
    <row r="37" spans="1:53" x14ac:dyDescent="0.45">
      <c r="A37" s="18"/>
      <c r="B37" s="512"/>
      <c r="C37" s="489"/>
      <c r="D37" s="489"/>
      <c r="E37" s="18"/>
      <c r="F37" s="18"/>
      <c r="G37" s="18"/>
      <c r="H37" s="18"/>
      <c r="I37" s="18"/>
      <c r="J37" s="18"/>
      <c r="K37" s="18"/>
      <c r="L37" s="18"/>
      <c r="N37" s="490"/>
      <c r="O37" s="492"/>
      <c r="P37" s="297"/>
      <c r="Q37" s="492"/>
      <c r="R37" s="297"/>
      <c r="S37" s="297"/>
      <c r="T37" s="297"/>
      <c r="U37" s="491"/>
      <c r="V37" s="495"/>
      <c r="W37" s="358"/>
      <c r="X37" s="490"/>
      <c r="Y37" s="493"/>
      <c r="Z37" s="297"/>
      <c r="AA37" s="494"/>
      <c r="AB37" s="297"/>
      <c r="AC37" s="297"/>
      <c r="AD37" s="297"/>
      <c r="AE37" s="491"/>
      <c r="AF37" s="358"/>
      <c r="AH37" s="490"/>
      <c r="AI37" s="492"/>
      <c r="AJ37" s="297"/>
      <c r="AK37" s="492"/>
      <c r="AL37" s="297"/>
      <c r="AM37" s="297"/>
      <c r="AN37" s="297"/>
      <c r="AO37" s="491"/>
      <c r="AP37" s="495"/>
      <c r="AQ37" s="358"/>
      <c r="AR37" s="490"/>
      <c r="AS37" s="493"/>
      <c r="AT37" s="297"/>
      <c r="AU37" s="494"/>
      <c r="AV37" s="297"/>
      <c r="AW37" s="297"/>
      <c r="AX37" s="297"/>
      <c r="AY37" s="491"/>
      <c r="AZ37" s="358"/>
      <c r="BA37" s="358"/>
    </row>
    <row r="38" spans="1:53" x14ac:dyDescent="0.45">
      <c r="A38" s="18"/>
      <c r="B38" s="512"/>
      <c r="C38" s="489"/>
      <c r="D38" s="489"/>
      <c r="E38" s="18"/>
      <c r="F38" s="18"/>
      <c r="G38" s="18"/>
      <c r="H38" s="18"/>
      <c r="I38" s="18"/>
      <c r="J38" s="18"/>
      <c r="K38" s="18"/>
      <c r="L38" s="18"/>
      <c r="N38" s="490"/>
      <c r="O38" s="492"/>
      <c r="P38" s="297"/>
      <c r="Q38" s="492"/>
      <c r="R38" s="297"/>
      <c r="S38" s="297"/>
      <c r="T38" s="297"/>
      <c r="U38" s="491"/>
      <c r="V38" s="495"/>
      <c r="W38" s="358"/>
      <c r="X38" s="490"/>
      <c r="Y38" s="493"/>
      <c r="Z38" s="297"/>
      <c r="AA38" s="494"/>
      <c r="AB38" s="297"/>
      <c r="AC38" s="297"/>
      <c r="AD38" s="297"/>
      <c r="AE38" s="491"/>
      <c r="AF38" s="358"/>
      <c r="AH38" s="490"/>
      <c r="AI38" s="492"/>
      <c r="AJ38" s="297"/>
      <c r="AK38" s="492"/>
      <c r="AL38" s="297"/>
      <c r="AM38" s="297"/>
      <c r="AN38" s="297"/>
      <c r="AO38" s="491"/>
      <c r="AP38" s="495"/>
      <c r="AQ38" s="358"/>
      <c r="AR38" s="490"/>
      <c r="AS38" s="493"/>
      <c r="AT38" s="297"/>
      <c r="AU38" s="494"/>
      <c r="AV38" s="297"/>
      <c r="AW38" s="297"/>
      <c r="AX38" s="297"/>
      <c r="AY38" s="491"/>
      <c r="AZ38" s="358"/>
      <c r="BA38" s="358"/>
    </row>
    <row r="39" spans="1:53" x14ac:dyDescent="0.45">
      <c r="A39" s="498"/>
      <c r="B39" s="513"/>
      <c r="C39" s="499"/>
      <c r="D39" s="499"/>
      <c r="E39" s="498"/>
      <c r="F39" s="498"/>
      <c r="G39" s="498"/>
      <c r="H39" s="498"/>
      <c r="I39" s="498"/>
      <c r="J39" s="498"/>
      <c r="K39" s="498"/>
      <c r="L39" s="498"/>
      <c r="M39" s="500"/>
      <c r="N39" s="501"/>
      <c r="O39" s="511"/>
      <c r="P39" s="502"/>
      <c r="Q39" s="511"/>
      <c r="R39" s="502"/>
      <c r="S39" s="502"/>
      <c r="T39" s="502"/>
      <c r="U39" s="503"/>
      <c r="V39" s="508"/>
      <c r="W39" s="504"/>
      <c r="X39" s="501"/>
      <c r="Y39" s="510"/>
      <c r="Z39" s="502"/>
      <c r="AA39" s="509"/>
      <c r="AB39" s="502"/>
      <c r="AC39" s="502"/>
      <c r="AD39" s="502"/>
      <c r="AE39" s="503"/>
      <c r="AF39" s="504"/>
      <c r="AG39" s="500"/>
      <c r="AH39" s="501"/>
      <c r="AI39" s="511"/>
      <c r="AJ39" s="502"/>
      <c r="AK39" s="511"/>
      <c r="AL39" s="502"/>
      <c r="AM39" s="502"/>
      <c r="AN39" s="502"/>
      <c r="AO39" s="503"/>
      <c r="AP39" s="508"/>
      <c r="AQ39" s="504"/>
      <c r="AR39" s="501"/>
      <c r="AS39" s="510"/>
      <c r="AT39" s="502"/>
      <c r="AU39" s="509"/>
      <c r="AV39" s="502"/>
      <c r="AW39" s="502"/>
      <c r="AX39" s="502"/>
      <c r="AY39" s="503"/>
      <c r="AZ39" s="504"/>
      <c r="BA39" s="504"/>
    </row>
    <row r="40" spans="1:53" x14ac:dyDescent="0.45">
      <c r="A40" s="18"/>
      <c r="B40" s="512"/>
      <c r="C40" s="489"/>
      <c r="D40" s="489"/>
      <c r="E40" s="18"/>
      <c r="F40" s="18"/>
      <c r="G40" s="18"/>
      <c r="H40" s="18"/>
      <c r="I40" s="18"/>
      <c r="J40" s="18"/>
      <c r="K40" s="18"/>
      <c r="L40" s="18"/>
      <c r="N40" s="490"/>
      <c r="O40" s="492"/>
      <c r="P40" s="297"/>
      <c r="Q40" s="492"/>
      <c r="R40" s="297"/>
      <c r="S40" s="297"/>
      <c r="T40" s="297"/>
      <c r="U40" s="491"/>
      <c r="V40" s="495"/>
      <c r="W40" s="358"/>
      <c r="X40" s="490"/>
      <c r="Y40" s="493"/>
      <c r="Z40" s="297"/>
      <c r="AA40" s="494"/>
      <c r="AB40" s="297"/>
      <c r="AC40" s="297"/>
      <c r="AD40" s="297"/>
      <c r="AE40" s="491"/>
      <c r="AF40" s="358"/>
      <c r="AH40" s="490"/>
      <c r="AI40" s="492"/>
      <c r="AJ40" s="297"/>
      <c r="AK40" s="492"/>
      <c r="AL40" s="297"/>
      <c r="AM40" s="297"/>
      <c r="AN40" s="297"/>
      <c r="AO40" s="491"/>
      <c r="AP40" s="495"/>
      <c r="AQ40" s="358"/>
      <c r="AR40" s="490"/>
      <c r="AS40" s="493"/>
      <c r="AT40" s="297"/>
      <c r="AU40" s="494"/>
      <c r="AV40" s="297"/>
      <c r="AW40" s="297"/>
      <c r="AX40" s="297"/>
      <c r="AY40" s="491"/>
      <c r="AZ40" s="358"/>
      <c r="BA40" s="358"/>
    </row>
    <row r="41" spans="1:53" x14ac:dyDescent="0.45">
      <c r="A41" s="18"/>
      <c r="B41" s="512"/>
      <c r="C41" s="489"/>
      <c r="D41" s="489"/>
      <c r="E41" s="18"/>
      <c r="F41" s="18"/>
      <c r="G41" s="18"/>
      <c r="H41" s="18"/>
      <c r="I41" s="18"/>
      <c r="J41" s="18"/>
      <c r="K41" s="18"/>
      <c r="L41" s="18"/>
      <c r="N41" s="490"/>
      <c r="O41" s="492"/>
      <c r="P41" s="297"/>
      <c r="Q41" s="492"/>
      <c r="R41" s="297"/>
      <c r="S41" s="297"/>
      <c r="T41" s="297"/>
      <c r="U41" s="491"/>
      <c r="V41" s="495"/>
      <c r="W41" s="358"/>
      <c r="X41" s="490"/>
      <c r="Y41" s="493"/>
      <c r="Z41" s="297"/>
      <c r="AA41" s="494"/>
      <c r="AB41" s="297"/>
      <c r="AC41" s="297"/>
      <c r="AD41" s="297"/>
      <c r="AE41" s="491"/>
      <c r="AF41" s="358"/>
      <c r="AH41" s="490"/>
      <c r="AI41" s="492"/>
      <c r="AJ41" s="297"/>
      <c r="AK41" s="492"/>
      <c r="AL41" s="297"/>
      <c r="AM41" s="297"/>
      <c r="AN41" s="297"/>
      <c r="AO41" s="491"/>
      <c r="AP41" s="495"/>
      <c r="AQ41" s="358"/>
      <c r="AR41" s="490"/>
      <c r="AS41" s="493"/>
      <c r="AT41" s="297"/>
      <c r="AU41" s="494"/>
      <c r="AV41" s="297"/>
      <c r="AW41" s="297"/>
      <c r="AX41" s="297"/>
      <c r="AY41" s="491"/>
      <c r="AZ41" s="358"/>
      <c r="BA41" s="358"/>
    </row>
    <row r="42" spans="1:53" x14ac:dyDescent="0.45">
      <c r="A42" s="18"/>
      <c r="B42" s="512"/>
      <c r="C42" s="489"/>
      <c r="D42" s="489"/>
      <c r="E42" s="18"/>
      <c r="F42" s="18"/>
      <c r="G42" s="18"/>
      <c r="H42" s="18"/>
      <c r="I42" s="18"/>
      <c r="J42" s="18"/>
      <c r="K42" s="18"/>
      <c r="L42" s="18"/>
      <c r="N42" s="490"/>
      <c r="O42" s="492"/>
      <c r="P42" s="297"/>
      <c r="Q42" s="492"/>
      <c r="R42" s="297"/>
      <c r="S42" s="297"/>
      <c r="T42" s="297"/>
      <c r="U42" s="491"/>
      <c r="V42" s="495"/>
      <c r="W42" s="358"/>
      <c r="X42" s="490"/>
      <c r="Y42" s="493"/>
      <c r="Z42" s="297"/>
      <c r="AA42" s="494"/>
      <c r="AB42" s="297"/>
      <c r="AC42" s="297"/>
      <c r="AD42" s="297"/>
      <c r="AE42" s="491"/>
      <c r="AF42" s="358"/>
      <c r="AH42" s="490"/>
      <c r="AI42" s="492"/>
      <c r="AJ42" s="297"/>
      <c r="AK42" s="492"/>
      <c r="AL42" s="297"/>
      <c r="AM42" s="297"/>
      <c r="AN42" s="297"/>
      <c r="AO42" s="491"/>
      <c r="AP42" s="495"/>
      <c r="AQ42" s="358"/>
      <c r="AR42" s="490"/>
      <c r="AS42" s="493"/>
      <c r="AT42" s="297"/>
      <c r="AU42" s="494"/>
      <c r="AV42" s="297"/>
      <c r="AW42" s="297"/>
      <c r="AX42" s="297"/>
      <c r="AY42" s="491"/>
      <c r="AZ42" s="358"/>
      <c r="BA42" s="358"/>
    </row>
    <row r="43" spans="1:53" x14ac:dyDescent="0.45">
      <c r="A43" s="18"/>
      <c r="B43" s="512"/>
      <c r="C43" s="489"/>
      <c r="D43" s="489"/>
      <c r="E43" s="18"/>
      <c r="F43" s="18"/>
      <c r="G43" s="18"/>
      <c r="H43" s="18"/>
      <c r="I43" s="18"/>
      <c r="J43" s="18"/>
      <c r="K43" s="18"/>
      <c r="L43" s="18"/>
      <c r="N43" s="490"/>
      <c r="O43" s="492"/>
      <c r="P43" s="297"/>
      <c r="Q43" s="492"/>
      <c r="R43" s="297"/>
      <c r="S43" s="297"/>
      <c r="T43" s="297"/>
      <c r="U43" s="491"/>
      <c r="V43" s="495"/>
      <c r="W43" s="358"/>
      <c r="X43" s="490"/>
      <c r="Y43" s="493"/>
      <c r="Z43" s="297"/>
      <c r="AA43" s="494"/>
      <c r="AB43" s="297"/>
      <c r="AC43" s="297"/>
      <c r="AD43" s="297"/>
      <c r="AE43" s="491"/>
      <c r="AF43" s="358"/>
      <c r="AH43" s="490"/>
      <c r="AI43" s="492"/>
      <c r="AJ43" s="297"/>
      <c r="AK43" s="492"/>
      <c r="AL43" s="297"/>
      <c r="AM43" s="297"/>
      <c r="AN43" s="297"/>
      <c r="AO43" s="491"/>
      <c r="AP43" s="495"/>
      <c r="AQ43" s="358"/>
      <c r="AR43" s="490"/>
      <c r="AS43" s="493"/>
      <c r="AT43" s="297"/>
      <c r="AU43" s="494"/>
      <c r="AV43" s="297"/>
      <c r="AW43" s="297"/>
      <c r="AX43" s="297"/>
      <c r="AY43" s="491"/>
      <c r="AZ43" s="358"/>
      <c r="BA43" s="358"/>
    </row>
    <row r="44" spans="1:53" x14ac:dyDescent="0.45">
      <c r="A44" s="18"/>
      <c r="B44" s="512"/>
      <c r="C44" s="489"/>
      <c r="D44" s="489"/>
      <c r="E44" s="18"/>
      <c r="F44" s="18"/>
      <c r="G44" s="18"/>
      <c r="H44" s="18"/>
      <c r="I44" s="18"/>
      <c r="J44" s="18"/>
      <c r="K44" s="18"/>
      <c r="L44" s="18"/>
      <c r="N44" s="490"/>
      <c r="O44" s="492"/>
      <c r="P44" s="297"/>
      <c r="Q44" s="492"/>
      <c r="R44" s="297"/>
      <c r="S44" s="297"/>
      <c r="T44" s="297"/>
      <c r="U44" s="491"/>
      <c r="V44" s="495"/>
      <c r="W44" s="358"/>
      <c r="X44" s="490"/>
      <c r="Y44" s="493"/>
      <c r="Z44" s="297"/>
      <c r="AA44" s="494"/>
      <c r="AB44" s="297"/>
      <c r="AC44" s="297"/>
      <c r="AD44" s="297"/>
      <c r="AE44" s="491"/>
      <c r="AF44" s="358"/>
      <c r="AH44" s="490"/>
      <c r="AI44" s="492"/>
      <c r="AJ44" s="297"/>
      <c r="AK44" s="492"/>
      <c r="AL44" s="297"/>
      <c r="AM44" s="297"/>
      <c r="AN44" s="297"/>
      <c r="AO44" s="491"/>
      <c r="AP44" s="495"/>
      <c r="AQ44" s="358"/>
      <c r="AR44" s="490"/>
      <c r="AS44" s="493"/>
      <c r="AT44" s="297"/>
      <c r="AU44" s="494"/>
      <c r="AV44" s="297"/>
      <c r="AW44" s="297"/>
      <c r="AX44" s="297"/>
      <c r="AY44" s="491"/>
      <c r="AZ44" s="358"/>
      <c r="BA44" s="358"/>
    </row>
    <row r="45" spans="1:53" x14ac:dyDescent="0.45">
      <c r="A45" s="498"/>
      <c r="B45" s="513"/>
      <c r="C45" s="499"/>
      <c r="D45" s="499"/>
      <c r="E45" s="498"/>
      <c r="F45" s="498"/>
      <c r="G45" s="498"/>
      <c r="H45" s="498"/>
      <c r="I45" s="498"/>
      <c r="J45" s="498"/>
      <c r="K45" s="498"/>
      <c r="L45" s="498"/>
      <c r="M45" s="500"/>
      <c r="N45" s="501"/>
      <c r="O45" s="511"/>
      <c r="P45" s="502"/>
      <c r="Q45" s="511"/>
      <c r="R45" s="502"/>
      <c r="S45" s="502"/>
      <c r="T45" s="502"/>
      <c r="U45" s="503"/>
      <c r="V45" s="508"/>
      <c r="W45" s="504"/>
      <c r="X45" s="501"/>
      <c r="Y45" s="510"/>
      <c r="Z45" s="502"/>
      <c r="AA45" s="509"/>
      <c r="AB45" s="502"/>
      <c r="AC45" s="502"/>
      <c r="AD45" s="502"/>
      <c r="AE45" s="503"/>
      <c r="AF45" s="504"/>
      <c r="AG45" s="500"/>
      <c r="AH45" s="501"/>
      <c r="AI45" s="511"/>
      <c r="AJ45" s="502"/>
      <c r="AK45" s="511"/>
      <c r="AL45" s="502"/>
      <c r="AM45" s="502"/>
      <c r="AN45" s="502"/>
      <c r="AO45" s="503"/>
      <c r="AP45" s="508"/>
      <c r="AQ45" s="504"/>
      <c r="AR45" s="501"/>
      <c r="AS45" s="510"/>
      <c r="AT45" s="502"/>
      <c r="AU45" s="509"/>
      <c r="AV45" s="502"/>
      <c r="AW45" s="502"/>
      <c r="AX45" s="502"/>
      <c r="AY45" s="503"/>
      <c r="AZ45" s="504"/>
      <c r="BA45" s="504"/>
    </row>
  </sheetData>
  <phoneticPr fontId="3"/>
  <dataValidations count="4">
    <dataValidation type="list" allowBlank="1" showInputMessage="1" showErrorMessage="1" sqref="BF2">
      <formula1>"KTR,KT"</formula1>
    </dataValidation>
    <dataValidation imeMode="on" allowBlank="1" showInputMessage="1" showErrorMessage="1" sqref="C1:D2 A1:A2 B1:B1048576 A4:A1048576 C4:D1048576"/>
    <dataValidation imeMode="off" allowBlank="1" showInputMessage="1" showErrorMessage="1" sqref="L1:L2 H1:J2 E1:G1048576 K1:K1048576 H4:J1048576 L4:L1048576"/>
    <dataValidation type="list" allowBlank="1" showInputMessage="1" showErrorMessage="1" sqref="BG2">
      <formula1>"0,1"</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9220" r:id="rId4" name="btnCalc">
          <controlPr defaultSize="0" autoLine="0" r:id="rId5">
            <anchor moveWithCells="1">
              <from>
                <xdr:col>0</xdr:col>
                <xdr:colOff>676275</xdr:colOff>
                <xdr:row>0</xdr:row>
                <xdr:rowOff>9525</xdr:rowOff>
              </from>
              <to>
                <xdr:col>1</xdr:col>
                <xdr:colOff>285750</xdr:colOff>
                <xdr:row>1</xdr:row>
                <xdr:rowOff>28575</xdr:rowOff>
              </to>
            </anchor>
          </controlPr>
        </control>
      </mc:Choice>
      <mc:Fallback>
        <control shapeId="9220" r:id="rId4" name="btnCalc"/>
      </mc:Fallback>
    </mc:AlternateContent>
    <mc:AlternateContent xmlns:mc="http://schemas.openxmlformats.org/markup-compatibility/2006">
      <mc:Choice Requires="x14">
        <control shapeId="9221" r:id="rId6" name="chkAll">
          <controlPr defaultSize="0" autoLine="0" r:id="rId7">
            <anchor moveWithCells="1">
              <from>
                <xdr:col>1</xdr:col>
                <xdr:colOff>457200</xdr:colOff>
                <xdr:row>0</xdr:row>
                <xdr:rowOff>0</xdr:rowOff>
              </from>
              <to>
                <xdr:col>1</xdr:col>
                <xdr:colOff>1057275</xdr:colOff>
                <xdr:row>1</xdr:row>
                <xdr:rowOff>19050</xdr:rowOff>
              </to>
            </anchor>
          </controlPr>
        </control>
      </mc:Choice>
      <mc:Fallback>
        <control shapeId="9221" r:id="rId6" name="chkAll"/>
      </mc:Fallback>
    </mc:AlternateContent>
    <mc:AlternateContent xmlns:mc="http://schemas.openxmlformats.org/markup-compatibility/2006">
      <mc:Choice Requires="x14">
        <control shapeId="9222" r:id="rId8" name="btnRemove">
          <controlPr defaultSize="0" autoLine="0" r:id="rId9">
            <anchor moveWithCells="1">
              <from>
                <xdr:col>3</xdr:col>
                <xdr:colOff>19050</xdr:colOff>
                <xdr:row>0</xdr:row>
                <xdr:rowOff>0</xdr:rowOff>
              </from>
              <to>
                <xdr:col>3</xdr:col>
                <xdr:colOff>857250</xdr:colOff>
                <xdr:row>1</xdr:row>
                <xdr:rowOff>19050</xdr:rowOff>
              </to>
            </anchor>
          </controlPr>
        </control>
      </mc:Choice>
      <mc:Fallback>
        <control shapeId="9222" r:id="rId8" name="btnRemove"/>
      </mc:Fallback>
    </mc:AlternateContent>
    <mc:AlternateContent xmlns:mc="http://schemas.openxmlformats.org/markup-compatibility/2006">
      <mc:Choice Requires="x14">
        <control shapeId="9227" r:id="rId10" name="btnSetAllWildCards">
          <controlPr defaultSize="0" autoLine="0" autoPict="0" r:id="rId11">
            <anchor moveWithCells="1">
              <from>
                <xdr:col>61</xdr:col>
                <xdr:colOff>19050</xdr:colOff>
                <xdr:row>0</xdr:row>
                <xdr:rowOff>9525</xdr:rowOff>
              </from>
              <to>
                <xdr:col>62</xdr:col>
                <xdr:colOff>447675</xdr:colOff>
                <xdr:row>1</xdr:row>
                <xdr:rowOff>85725</xdr:rowOff>
              </to>
            </anchor>
          </controlPr>
        </control>
      </mc:Choice>
      <mc:Fallback>
        <control shapeId="9227" r:id="rId10" name="btnSetAllWildCards"/>
      </mc:Fallback>
    </mc:AlternateContent>
    <mc:AlternateContent xmlns:mc="http://schemas.openxmlformats.org/markup-compatibility/2006">
      <mc:Choice Requires="x14">
        <control shapeId="9228" r:id="rId12" name="btnClear">
          <controlPr defaultSize="0" autoLine="0" r:id="rId13">
            <anchor moveWithCells="1">
              <from>
                <xdr:col>2</xdr:col>
                <xdr:colOff>28575</xdr:colOff>
                <xdr:row>0</xdr:row>
                <xdr:rowOff>0</xdr:rowOff>
              </from>
              <to>
                <xdr:col>2</xdr:col>
                <xdr:colOff>866775</xdr:colOff>
                <xdr:row>1</xdr:row>
                <xdr:rowOff>19050</xdr:rowOff>
              </to>
            </anchor>
          </controlPr>
        </control>
      </mc:Choice>
      <mc:Fallback>
        <control shapeId="9228" r:id="rId12" name="btnClear"/>
      </mc:Fallback>
    </mc:AlternateContent>
  </controls>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MatchEffective"/>
  <dimension ref="A1:BI3"/>
  <sheetViews>
    <sheetView zoomScale="80" zoomScaleNormal="80" workbookViewId="0">
      <pane xSplit="2" ySplit="2" topLeftCell="C3" activePane="bottomRight" state="frozenSplit"/>
      <selection pane="topRight" activeCell="F1" sqref="F1"/>
      <selection pane="bottomLeft" activeCell="A5" sqref="A5"/>
      <selection pane="bottomRight" activeCell="A3" sqref="A3"/>
    </sheetView>
  </sheetViews>
  <sheetFormatPr defaultRowHeight="16.5" x14ac:dyDescent="0.45"/>
  <cols>
    <col min="1" max="2" width="14.44140625" style="1" customWidth="1"/>
    <col min="3" max="4" width="12.109375" style="1" customWidth="1"/>
    <col min="5" max="5" width="4.109375" style="1" customWidth="1"/>
    <col min="6" max="7" width="8.109375" style="1" customWidth="1"/>
    <col min="8" max="8" width="7.33203125" style="1" customWidth="1"/>
    <col min="9" max="12" width="5.44140625" style="1" customWidth="1"/>
    <col min="13" max="13" width="5.44140625" style="430" customWidth="1"/>
    <col min="14" max="15" width="13" style="1" customWidth="1"/>
    <col min="16" max="16" width="5.44140625" style="3" customWidth="1"/>
    <col min="17" max="17" width="13" style="1" customWidth="1"/>
    <col min="18" max="18" width="6" style="3" customWidth="1"/>
    <col min="19" max="19" width="5.44140625" style="3" customWidth="1"/>
    <col min="20" max="20" width="5.6640625" style="3" customWidth="1"/>
    <col min="21" max="21" width="6.88671875" style="447" customWidth="1"/>
    <col min="22" max="22" width="5.44140625" style="430" hidden="1" customWidth="1"/>
    <col min="23" max="23" width="5.44140625" style="1" hidden="1" customWidth="1"/>
    <col min="24" max="25" width="13.21875" style="1" hidden="1" customWidth="1"/>
    <col min="26" max="26" width="5.44140625" style="3" hidden="1" customWidth="1"/>
    <col min="27" max="27" width="13.21875" style="1" hidden="1" customWidth="1"/>
    <col min="28" max="28" width="6" style="3" hidden="1" customWidth="1"/>
    <col min="29" max="29" width="5.44140625" style="3" hidden="1" customWidth="1"/>
    <col min="30" max="30" width="5.6640625" style="3" hidden="1" customWidth="1"/>
    <col min="31" max="31" width="6.88671875" style="447" hidden="1" customWidth="1"/>
    <col min="32" max="32" width="13.21875" style="1" hidden="1" customWidth="1"/>
    <col min="33" max="33" width="5.44140625" style="430" customWidth="1"/>
    <col min="34" max="35" width="13.21875" style="1" customWidth="1"/>
    <col min="36" max="36" width="6" style="3" customWidth="1"/>
    <col min="37" max="37" width="13.21875" style="1" customWidth="1"/>
    <col min="38" max="38" width="6" style="3" customWidth="1"/>
    <col min="39" max="39" width="5.44140625" style="3" customWidth="1"/>
    <col min="40" max="40" width="5.6640625" style="3" customWidth="1"/>
    <col min="41" max="41" width="6.88671875" style="447" customWidth="1"/>
    <col min="42" max="42" width="5.33203125" style="430" hidden="1" customWidth="1"/>
    <col min="43" max="43" width="5.33203125" style="1" hidden="1" customWidth="1"/>
    <col min="44" max="45" width="12.88671875" style="1" hidden="1" customWidth="1"/>
    <col min="46" max="46" width="5.44140625" style="3" hidden="1" customWidth="1"/>
    <col min="47" max="47" width="12.88671875" style="1" hidden="1" customWidth="1"/>
    <col min="48" max="48" width="6" style="3" hidden="1" customWidth="1"/>
    <col min="49" max="49" width="5.44140625" style="3" hidden="1" customWidth="1"/>
    <col min="50" max="50" width="5.6640625" style="3" hidden="1" customWidth="1"/>
    <col min="51" max="51" width="6.88671875" style="447" hidden="1" customWidth="1"/>
    <col min="52" max="52" width="12.88671875" style="1" hidden="1" customWidth="1"/>
    <col min="53" max="53" width="7.6640625" style="1" customWidth="1"/>
    <col min="54" max="16384" width="8.88671875" style="1"/>
  </cols>
  <sheetData>
    <row r="1" spans="1:61" s="18" customFormat="1" x14ac:dyDescent="0.45">
      <c r="A1" s="408" t="s">
        <v>1729</v>
      </c>
      <c r="B1" s="408"/>
      <c r="C1" s="408"/>
      <c r="D1" s="408"/>
      <c r="E1" s="408"/>
      <c r="F1" s="408"/>
      <c r="G1" s="408"/>
      <c r="H1" s="408"/>
      <c r="I1" s="408"/>
      <c r="J1" s="408"/>
      <c r="K1" s="409" t="s">
        <v>1736</v>
      </c>
      <c r="L1" s="409"/>
      <c r="M1" s="428" t="s">
        <v>1724</v>
      </c>
      <c r="N1" s="316"/>
      <c r="O1" s="316"/>
      <c r="P1" s="437"/>
      <c r="Q1" s="316"/>
      <c r="R1" s="437"/>
      <c r="S1" s="437"/>
      <c r="T1" s="437"/>
      <c r="U1" s="445"/>
      <c r="V1" s="431" t="s">
        <v>1725</v>
      </c>
      <c r="W1" s="410"/>
      <c r="X1" s="410"/>
      <c r="Y1" s="410"/>
      <c r="Z1" s="439"/>
      <c r="AA1" s="410"/>
      <c r="AB1" s="439"/>
      <c r="AC1" s="439"/>
      <c r="AD1" s="439"/>
      <c r="AE1" s="448"/>
      <c r="AF1" s="410"/>
      <c r="AG1" s="433" t="s">
        <v>1727</v>
      </c>
      <c r="AH1" s="411"/>
      <c r="AI1" s="411"/>
      <c r="AJ1" s="441"/>
      <c r="AK1" s="411"/>
      <c r="AL1" s="441"/>
      <c r="AM1" s="441"/>
      <c r="AN1" s="441"/>
      <c r="AO1" s="450"/>
      <c r="AP1" s="435" t="s">
        <v>1728</v>
      </c>
      <c r="AQ1" s="412"/>
      <c r="AR1" s="412"/>
      <c r="AS1" s="412"/>
      <c r="AT1" s="443"/>
      <c r="AU1" s="412"/>
      <c r="AV1" s="443"/>
      <c r="AW1" s="443"/>
      <c r="AX1" s="443"/>
      <c r="AY1" s="452"/>
      <c r="AZ1" s="412"/>
      <c r="BA1" s="409"/>
      <c r="BC1" s="241" t="s">
        <v>1737</v>
      </c>
      <c r="BD1" s="454" t="s">
        <v>1738</v>
      </c>
      <c r="BE1" s="454" t="s">
        <v>1739</v>
      </c>
      <c r="BF1" s="454" t="s">
        <v>1740</v>
      </c>
      <c r="BG1" s="454" t="s">
        <v>3108</v>
      </c>
      <c r="BH1" s="457" t="s">
        <v>2859</v>
      </c>
      <c r="BI1" s="457" t="s">
        <v>2860</v>
      </c>
    </row>
    <row r="2" spans="1:61" s="18" customFormat="1" x14ac:dyDescent="0.45">
      <c r="A2" s="234" t="s">
        <v>324</v>
      </c>
      <c r="B2" s="234" t="s">
        <v>336</v>
      </c>
      <c r="C2" s="234" t="s">
        <v>321</v>
      </c>
      <c r="D2" s="234" t="s">
        <v>333</v>
      </c>
      <c r="E2" s="235" t="s">
        <v>318</v>
      </c>
      <c r="F2" s="235" t="s">
        <v>1733</v>
      </c>
      <c r="G2" s="235" t="s">
        <v>1732</v>
      </c>
      <c r="H2" s="235" t="s">
        <v>1731</v>
      </c>
      <c r="I2" s="235" t="s">
        <v>323</v>
      </c>
      <c r="J2" s="235" t="s">
        <v>322</v>
      </c>
      <c r="K2" s="240" t="s">
        <v>1734</v>
      </c>
      <c r="L2" s="240" t="s">
        <v>1735</v>
      </c>
      <c r="M2" s="429" t="s">
        <v>3710</v>
      </c>
      <c r="N2" s="237" t="s">
        <v>3922</v>
      </c>
      <c r="O2" s="237" t="s">
        <v>3711</v>
      </c>
      <c r="P2" s="438" t="s">
        <v>3951</v>
      </c>
      <c r="Q2" s="237" t="s">
        <v>3924</v>
      </c>
      <c r="R2" s="438" t="s">
        <v>3952</v>
      </c>
      <c r="S2" s="438" t="s">
        <v>3953</v>
      </c>
      <c r="T2" s="438" t="s">
        <v>3954</v>
      </c>
      <c r="U2" s="446" t="s">
        <v>3928</v>
      </c>
      <c r="V2" s="432" t="s">
        <v>3712</v>
      </c>
      <c r="W2" s="238" t="s">
        <v>3713</v>
      </c>
      <c r="X2" s="238" t="s">
        <v>3929</v>
      </c>
      <c r="Y2" s="238" t="s">
        <v>3714</v>
      </c>
      <c r="Z2" s="440" t="s">
        <v>3930</v>
      </c>
      <c r="AA2" s="238" t="s">
        <v>3931</v>
      </c>
      <c r="AB2" s="440" t="s">
        <v>3932</v>
      </c>
      <c r="AC2" s="440" t="s">
        <v>3933</v>
      </c>
      <c r="AD2" s="440" t="s">
        <v>3934</v>
      </c>
      <c r="AE2" s="449" t="s">
        <v>3935</v>
      </c>
      <c r="AF2" s="238" t="s">
        <v>3715</v>
      </c>
      <c r="AG2" s="434" t="s">
        <v>3716</v>
      </c>
      <c r="AH2" s="236" t="s">
        <v>3936</v>
      </c>
      <c r="AI2" s="236" t="s">
        <v>3717</v>
      </c>
      <c r="AJ2" s="442" t="s">
        <v>3955</v>
      </c>
      <c r="AK2" s="236" t="s">
        <v>3938</v>
      </c>
      <c r="AL2" s="442" t="s">
        <v>3956</v>
      </c>
      <c r="AM2" s="442" t="s">
        <v>3957</v>
      </c>
      <c r="AN2" s="442" t="s">
        <v>3941</v>
      </c>
      <c r="AO2" s="451" t="s">
        <v>3942</v>
      </c>
      <c r="AP2" s="436" t="s">
        <v>3718</v>
      </c>
      <c r="AQ2" s="239" t="s">
        <v>3719</v>
      </c>
      <c r="AR2" s="239" t="s">
        <v>3943</v>
      </c>
      <c r="AS2" s="239" t="s">
        <v>3720</v>
      </c>
      <c r="AT2" s="444" t="s">
        <v>3944</v>
      </c>
      <c r="AU2" s="239" t="s">
        <v>3945</v>
      </c>
      <c r="AV2" s="444" t="s">
        <v>3946</v>
      </c>
      <c r="AW2" s="444" t="s">
        <v>3947</v>
      </c>
      <c r="AX2" s="444" t="s">
        <v>3948</v>
      </c>
      <c r="AY2" s="453" t="s">
        <v>3949</v>
      </c>
      <c r="AZ2" s="239" t="s">
        <v>3950</v>
      </c>
      <c r="BA2" s="240" t="s">
        <v>1742</v>
      </c>
      <c r="BD2" s="456">
        <v>0</v>
      </c>
      <c r="BE2" s="456">
        <v>5</v>
      </c>
      <c r="BF2" s="456" t="s">
        <v>2861</v>
      </c>
      <c r="BG2" s="456">
        <v>0</v>
      </c>
      <c r="BH2" s="455"/>
      <c r="BI2" s="455">
        <v>2000</v>
      </c>
    </row>
    <row r="3" spans="1:61" s="413" customFormat="1" ht="18.75" x14ac:dyDescent="0.45">
      <c r="A3" s="528" t="s">
        <v>3788</v>
      </c>
      <c r="B3" s="529"/>
      <c r="C3" s="542"/>
      <c r="D3" s="543"/>
      <c r="E3" s="528"/>
      <c r="F3" s="528"/>
      <c r="G3" s="528"/>
      <c r="H3" s="528"/>
      <c r="I3" s="528"/>
      <c r="J3" s="528"/>
      <c r="K3" s="528"/>
      <c r="L3" s="528"/>
      <c r="M3" s="531"/>
      <c r="N3" s="532"/>
      <c r="O3" s="544"/>
      <c r="P3" s="534"/>
      <c r="Q3" s="533"/>
      <c r="R3" s="534"/>
      <c r="S3" s="534"/>
      <c r="T3" s="534"/>
      <c r="U3" s="535"/>
      <c r="V3" s="536"/>
      <c r="W3" s="531"/>
      <c r="X3" s="531"/>
      <c r="Y3" s="537"/>
      <c r="Z3" s="534"/>
      <c r="AA3" s="537"/>
      <c r="AB3" s="534"/>
      <c r="AC3" s="534"/>
      <c r="AD3" s="534"/>
      <c r="AE3" s="535"/>
      <c r="AF3" s="531"/>
      <c r="AG3" s="531"/>
      <c r="AH3" s="539"/>
      <c r="AI3" s="545"/>
      <c r="AJ3" s="534"/>
      <c r="AK3" s="541"/>
      <c r="AL3" s="534"/>
      <c r="AM3" s="534"/>
      <c r="AN3" s="534"/>
      <c r="AO3" s="535"/>
      <c r="AP3" s="536"/>
      <c r="AQ3" s="531"/>
      <c r="AR3" s="531"/>
      <c r="AS3" s="537"/>
      <c r="AT3" s="534"/>
      <c r="AU3" s="537"/>
      <c r="AV3" s="534"/>
      <c r="AW3" s="534"/>
      <c r="AX3" s="534"/>
      <c r="AY3" s="535"/>
      <c r="AZ3" s="531"/>
      <c r="BA3" s="531"/>
    </row>
  </sheetData>
  <phoneticPr fontId="3"/>
  <dataValidations count="4">
    <dataValidation imeMode="off" allowBlank="1" showInputMessage="1" showErrorMessage="1" sqref="L1:L2 H1:J2 E1:G1048576 K1:K1048576 H4:J1048576 L4:L1048576"/>
    <dataValidation imeMode="on" allowBlank="1" showInputMessage="1" showErrorMessage="1" sqref="C1:D2 A1:A2 B1:B1048576 C4:D1048576 A4:A1048576"/>
    <dataValidation type="list" allowBlank="1" showInputMessage="1" showErrorMessage="1" sqref="BF2">
      <formula1>"KTR,KT"</formula1>
    </dataValidation>
    <dataValidation type="list" allowBlank="1" showInputMessage="1" showErrorMessage="1" sqref="BG2">
      <formula1>"0,1"</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3559" r:id="rId4" name="chkRemoveAtk">
          <controlPr defaultSize="0" autoLine="0" r:id="rId5">
            <anchor moveWithCells="1">
              <from>
                <xdr:col>64</xdr:col>
                <xdr:colOff>190500</xdr:colOff>
                <xdr:row>0</xdr:row>
                <xdr:rowOff>9525</xdr:rowOff>
              </from>
              <to>
                <xdr:col>66</xdr:col>
                <xdr:colOff>76200</xdr:colOff>
                <xdr:row>1</xdr:row>
                <xdr:rowOff>76200</xdr:rowOff>
              </to>
            </anchor>
          </controlPr>
        </control>
      </mc:Choice>
      <mc:Fallback>
        <control shapeId="23559" r:id="rId4" name="chkRemoveAtk"/>
      </mc:Fallback>
    </mc:AlternateContent>
    <mc:AlternateContent xmlns:mc="http://schemas.openxmlformats.org/markup-compatibility/2006">
      <mc:Choice Requires="x14">
        <control shapeId="23558" r:id="rId6" name="btnAddRocketTroupe">
          <controlPr defaultSize="0" autoLine="0" r:id="rId7">
            <anchor moveWithCells="1">
              <from>
                <xdr:col>62</xdr:col>
                <xdr:colOff>485775</xdr:colOff>
                <xdr:row>0</xdr:row>
                <xdr:rowOff>0</xdr:rowOff>
              </from>
              <to>
                <xdr:col>64</xdr:col>
                <xdr:colOff>171450</xdr:colOff>
                <xdr:row>1</xdr:row>
                <xdr:rowOff>76200</xdr:rowOff>
              </to>
            </anchor>
          </controlPr>
        </control>
      </mc:Choice>
      <mc:Fallback>
        <control shapeId="23558" r:id="rId6" name="btnAddRocketTroupe"/>
      </mc:Fallback>
    </mc:AlternateContent>
    <mc:AlternateContent xmlns:mc="http://schemas.openxmlformats.org/markup-compatibility/2006">
      <mc:Choice Requires="x14">
        <control shapeId="23557" r:id="rId8" name="btnClear">
          <controlPr defaultSize="0" autoLine="0" r:id="rId9">
            <anchor moveWithCells="1">
              <from>
                <xdr:col>2</xdr:col>
                <xdr:colOff>47625</xdr:colOff>
                <xdr:row>0</xdr:row>
                <xdr:rowOff>0</xdr:rowOff>
              </from>
              <to>
                <xdr:col>2</xdr:col>
                <xdr:colOff>885825</xdr:colOff>
                <xdr:row>1</xdr:row>
                <xdr:rowOff>19050</xdr:rowOff>
              </to>
            </anchor>
          </controlPr>
        </control>
      </mc:Choice>
      <mc:Fallback>
        <control shapeId="23557" r:id="rId8" name="btnClear"/>
      </mc:Fallback>
    </mc:AlternateContent>
    <mc:AlternateContent xmlns:mc="http://schemas.openxmlformats.org/markup-compatibility/2006">
      <mc:Choice Requires="x14">
        <control shapeId="23556" r:id="rId10" name="btnSetAllWildCards">
          <controlPr defaultSize="0" autoLine="0" autoPict="0" r:id="rId11">
            <anchor moveWithCells="1">
              <from>
                <xdr:col>61</xdr:col>
                <xdr:colOff>19050</xdr:colOff>
                <xdr:row>0</xdr:row>
                <xdr:rowOff>9525</xdr:rowOff>
              </from>
              <to>
                <xdr:col>62</xdr:col>
                <xdr:colOff>466725</xdr:colOff>
                <xdr:row>1</xdr:row>
                <xdr:rowOff>85725</xdr:rowOff>
              </to>
            </anchor>
          </controlPr>
        </control>
      </mc:Choice>
      <mc:Fallback>
        <control shapeId="23556" r:id="rId10" name="btnSetAllWildCards"/>
      </mc:Fallback>
    </mc:AlternateContent>
    <mc:AlternateContent xmlns:mc="http://schemas.openxmlformats.org/markup-compatibility/2006">
      <mc:Choice Requires="x14">
        <control shapeId="23555" r:id="rId12" name="btnRemove">
          <controlPr defaultSize="0" autoLine="0" r:id="rId13">
            <anchor moveWithCells="1">
              <from>
                <xdr:col>3</xdr:col>
                <xdr:colOff>19050</xdr:colOff>
                <xdr:row>0</xdr:row>
                <xdr:rowOff>0</xdr:rowOff>
              </from>
              <to>
                <xdr:col>3</xdr:col>
                <xdr:colOff>857250</xdr:colOff>
                <xdr:row>1</xdr:row>
                <xdr:rowOff>19050</xdr:rowOff>
              </to>
            </anchor>
          </controlPr>
        </control>
      </mc:Choice>
      <mc:Fallback>
        <control shapeId="23555" r:id="rId12" name="btnRemove"/>
      </mc:Fallback>
    </mc:AlternateContent>
    <mc:AlternateContent xmlns:mc="http://schemas.openxmlformats.org/markup-compatibility/2006">
      <mc:Choice Requires="x14">
        <control shapeId="23554" r:id="rId14" name="chkAll">
          <controlPr defaultSize="0" autoLine="0" r:id="rId15">
            <anchor moveWithCells="1">
              <from>
                <xdr:col>1</xdr:col>
                <xdr:colOff>457200</xdr:colOff>
                <xdr:row>0</xdr:row>
                <xdr:rowOff>0</xdr:rowOff>
              </from>
              <to>
                <xdr:col>1</xdr:col>
                <xdr:colOff>1057275</xdr:colOff>
                <xdr:row>1</xdr:row>
                <xdr:rowOff>19050</xdr:rowOff>
              </to>
            </anchor>
          </controlPr>
        </control>
      </mc:Choice>
      <mc:Fallback>
        <control shapeId="23554" r:id="rId14" name="chkAll"/>
      </mc:Fallback>
    </mc:AlternateContent>
    <mc:AlternateContent xmlns:mc="http://schemas.openxmlformats.org/markup-compatibility/2006">
      <mc:Choice Requires="x14">
        <control shapeId="23553" r:id="rId16" name="btnCalc">
          <controlPr defaultSize="0" autoLine="0" r:id="rId17">
            <anchor moveWithCells="1">
              <from>
                <xdr:col>0</xdr:col>
                <xdr:colOff>676275</xdr:colOff>
                <xdr:row>0</xdr:row>
                <xdr:rowOff>9525</xdr:rowOff>
              </from>
              <to>
                <xdr:col>1</xdr:col>
                <xdr:colOff>285750</xdr:colOff>
                <xdr:row>1</xdr:row>
                <xdr:rowOff>28575</xdr:rowOff>
              </to>
            </anchor>
          </controlPr>
        </control>
      </mc:Choice>
      <mc:Fallback>
        <control shapeId="23553" r:id="rId16" name="btnCalc"/>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ewEntries"/>
  <dimension ref="A1:AM50"/>
  <sheetViews>
    <sheetView zoomScale="80" zoomScaleNormal="80" workbookViewId="0">
      <selection activeCell="I3" sqref="I3"/>
    </sheetView>
  </sheetViews>
  <sheetFormatPr defaultRowHeight="16.5" x14ac:dyDescent="0.45"/>
  <cols>
    <col min="1" max="1" width="13.21875" style="10" customWidth="1"/>
    <col min="2" max="3" width="6.88671875" style="10" customWidth="1"/>
    <col min="4" max="5" width="4.88671875" style="10" customWidth="1"/>
    <col min="6" max="6" width="5.33203125" style="10" customWidth="1"/>
    <col min="7" max="7" width="7.109375" style="10" customWidth="1"/>
    <col min="8" max="8" width="6.77734375" style="10" customWidth="1"/>
    <col min="9" max="9" width="13.21875" style="10" customWidth="1"/>
    <col min="10" max="11" width="6.88671875" style="10" customWidth="1"/>
    <col min="12" max="13" width="4.88671875" style="10" customWidth="1"/>
    <col min="14" max="14" width="5.33203125" style="10" customWidth="1"/>
    <col min="15" max="15" width="7.109375" style="10" customWidth="1"/>
    <col min="16" max="16" width="6.77734375" style="10" customWidth="1"/>
    <col min="17" max="17" width="13.21875" style="10" customWidth="1"/>
    <col min="18" max="18" width="6.88671875" style="10" customWidth="1"/>
    <col min="19" max="19" width="6.77734375" style="10" customWidth="1"/>
    <col min="20" max="21" width="4.88671875" style="10" customWidth="1"/>
    <col min="22" max="22" width="5.33203125" style="10" customWidth="1"/>
    <col min="23" max="23" width="7.109375" style="10" customWidth="1"/>
    <col min="24" max="24" width="6.77734375" style="10" customWidth="1"/>
    <col min="25" max="25" width="13.21875" style="10" customWidth="1"/>
    <col min="26" max="26" width="6.88671875" style="10" customWidth="1"/>
    <col min="27" max="27" width="6.77734375" style="10" customWidth="1"/>
    <col min="28" max="29" width="4.88671875" style="10" customWidth="1"/>
    <col min="30" max="30" width="5.33203125" style="10" customWidth="1"/>
    <col min="31" max="31" width="7.109375" style="10" customWidth="1"/>
    <col min="32" max="32" width="5.21875" style="10" customWidth="1"/>
    <col min="33" max="34" width="8.88671875" style="10"/>
    <col min="35" max="35" width="10" style="10" customWidth="1"/>
    <col min="36" max="36" width="8.88671875" style="10"/>
    <col min="37" max="37" width="9.5546875" style="10" customWidth="1"/>
    <col min="38" max="16384" width="8.88671875" style="10"/>
  </cols>
  <sheetData>
    <row r="1" spans="1:39" x14ac:dyDescent="0.45">
      <c r="A1" s="271" t="s">
        <v>3729</v>
      </c>
      <c r="B1" s="271"/>
      <c r="C1" s="271"/>
      <c r="D1" s="271" t="s">
        <v>2863</v>
      </c>
      <c r="E1" s="271" t="s">
        <v>2537</v>
      </c>
      <c r="F1" s="271" t="s">
        <v>3114</v>
      </c>
      <c r="G1" s="271"/>
      <c r="I1" s="335" t="s">
        <v>3728</v>
      </c>
      <c r="J1" s="335"/>
      <c r="K1" s="335" t="s">
        <v>3060</v>
      </c>
      <c r="L1" s="335" t="s">
        <v>2863</v>
      </c>
      <c r="M1" s="335" t="s">
        <v>2862</v>
      </c>
      <c r="N1" s="335" t="s">
        <v>3114</v>
      </c>
      <c r="O1" s="335"/>
      <c r="Q1" s="271" t="s">
        <v>3730</v>
      </c>
      <c r="R1" s="271"/>
      <c r="S1" s="271"/>
      <c r="T1" s="271" t="s">
        <v>2863</v>
      </c>
      <c r="U1" s="271" t="s">
        <v>2537</v>
      </c>
      <c r="V1" s="271" t="s">
        <v>3114</v>
      </c>
      <c r="W1" s="271"/>
      <c r="Y1" s="335" t="s">
        <v>3727</v>
      </c>
      <c r="Z1" s="335"/>
      <c r="AA1" s="335" t="s">
        <v>3060</v>
      </c>
      <c r="AB1" s="335" t="s">
        <v>2863</v>
      </c>
      <c r="AC1" s="335" t="s">
        <v>2862</v>
      </c>
      <c r="AD1" s="335" t="s">
        <v>3114</v>
      </c>
      <c r="AE1" s="335"/>
      <c r="AI1" s="10" t="s">
        <v>3722</v>
      </c>
      <c r="AJ1" s="497" t="s">
        <v>3723</v>
      </c>
      <c r="AK1" s="497" t="s">
        <v>3724</v>
      </c>
      <c r="AL1" s="497" t="s">
        <v>3725</v>
      </c>
      <c r="AM1" s="497" t="s">
        <v>3726</v>
      </c>
    </row>
    <row r="2" spans="1:39" x14ac:dyDescent="0.45">
      <c r="A2" s="19" t="s">
        <v>327</v>
      </c>
      <c r="B2" s="19" t="s">
        <v>1801</v>
      </c>
      <c r="C2" s="19" t="s">
        <v>3111</v>
      </c>
      <c r="D2" s="19" t="s">
        <v>318</v>
      </c>
      <c r="E2" s="19" t="s">
        <v>3721</v>
      </c>
      <c r="F2" s="19" t="s">
        <v>1602</v>
      </c>
      <c r="G2" s="19" t="s">
        <v>3113</v>
      </c>
      <c r="I2" s="19" t="s">
        <v>327</v>
      </c>
      <c r="J2" s="19" t="s">
        <v>3112</v>
      </c>
      <c r="K2" s="19" t="s">
        <v>3111</v>
      </c>
      <c r="L2" s="19" t="s">
        <v>318</v>
      </c>
      <c r="M2" s="19" t="s">
        <v>3958</v>
      </c>
      <c r="N2" s="19" t="s">
        <v>3115</v>
      </c>
      <c r="O2" s="19" t="s">
        <v>3113</v>
      </c>
      <c r="Q2" s="19" t="s">
        <v>327</v>
      </c>
      <c r="R2" s="19" t="s">
        <v>1801</v>
      </c>
      <c r="S2" s="19" t="s">
        <v>3111</v>
      </c>
      <c r="T2" s="19" t="s">
        <v>318</v>
      </c>
      <c r="U2" s="19" t="s">
        <v>2864</v>
      </c>
      <c r="V2" s="19" t="s">
        <v>1602</v>
      </c>
      <c r="W2" s="19" t="s">
        <v>3113</v>
      </c>
      <c r="Y2" s="19" t="s">
        <v>327</v>
      </c>
      <c r="Z2" s="19" t="s">
        <v>3112</v>
      </c>
      <c r="AA2" s="19" t="s">
        <v>3111</v>
      </c>
      <c r="AB2" s="19" t="s">
        <v>318</v>
      </c>
      <c r="AC2" s="19" t="s">
        <v>2864</v>
      </c>
      <c r="AD2" s="19" t="s">
        <v>3115</v>
      </c>
      <c r="AE2" s="19" t="s">
        <v>3113</v>
      </c>
      <c r="AJ2" s="496">
        <v>3</v>
      </c>
      <c r="AK2" s="496">
        <v>3</v>
      </c>
      <c r="AL2" s="496">
        <v>3</v>
      </c>
      <c r="AM2" s="496">
        <v>3</v>
      </c>
    </row>
    <row r="3" spans="1:39" ht="18.75" x14ac:dyDescent="0.45">
      <c r="A3"/>
      <c r="B3"/>
      <c r="C3"/>
      <c r="D3"/>
      <c r="E3"/>
      <c r="F3"/>
      <c r="G3"/>
      <c r="I3"/>
      <c r="J3"/>
      <c r="K3"/>
      <c r="L3"/>
      <c r="M3"/>
      <c r="N3"/>
      <c r="O3"/>
      <c r="Q3"/>
      <c r="R3"/>
      <c r="S3"/>
      <c r="T3"/>
      <c r="U3"/>
      <c r="V3"/>
      <c r="W3"/>
      <c r="Y3"/>
      <c r="Z3"/>
      <c r="AA3"/>
      <c r="AB3"/>
      <c r="AC3"/>
      <c r="AD3"/>
      <c r="AE3"/>
    </row>
    <row r="4" spans="1:39" ht="18.75" x14ac:dyDescent="0.45">
      <c r="A4"/>
      <c r="B4"/>
      <c r="C4"/>
      <c r="D4"/>
      <c r="E4"/>
      <c r="F4"/>
      <c r="G4"/>
      <c r="I4"/>
      <c r="J4"/>
      <c r="K4"/>
      <c r="L4"/>
      <c r="M4"/>
      <c r="N4"/>
      <c r="O4"/>
      <c r="Q4"/>
      <c r="R4"/>
      <c r="S4"/>
      <c r="T4"/>
      <c r="U4"/>
      <c r="V4"/>
      <c r="W4"/>
      <c r="Y4"/>
      <c r="Z4"/>
      <c r="AA4"/>
      <c r="AB4"/>
      <c r="AC4"/>
      <c r="AD4"/>
      <c r="AE4"/>
    </row>
    <row r="5" spans="1:39" ht="18.75" x14ac:dyDescent="0.45">
      <c r="A5"/>
      <c r="B5"/>
      <c r="C5"/>
      <c r="D5"/>
      <c r="E5"/>
      <c r="F5"/>
      <c r="G5"/>
      <c r="I5"/>
      <c r="J5"/>
      <c r="K5"/>
      <c r="L5"/>
      <c r="M5"/>
      <c r="N5"/>
      <c r="O5"/>
      <c r="Q5"/>
      <c r="R5"/>
      <c r="S5"/>
      <c r="T5"/>
      <c r="U5"/>
      <c r="V5"/>
      <c r="W5"/>
      <c r="Y5"/>
      <c r="Z5"/>
      <c r="AA5"/>
      <c r="AB5"/>
      <c r="AC5"/>
      <c r="AD5"/>
      <c r="AE5"/>
    </row>
    <row r="6" spans="1:39" ht="18.75" x14ac:dyDescent="0.45">
      <c r="A6"/>
      <c r="B6"/>
      <c r="C6"/>
      <c r="D6"/>
      <c r="E6"/>
      <c r="F6"/>
      <c r="G6"/>
      <c r="I6"/>
      <c r="J6"/>
      <c r="K6"/>
      <c r="L6"/>
      <c r="M6"/>
      <c r="N6"/>
      <c r="O6"/>
      <c r="Q6"/>
      <c r="R6"/>
      <c r="S6"/>
      <c r="T6"/>
      <c r="U6"/>
      <c r="V6"/>
      <c r="W6"/>
      <c r="Y6"/>
      <c r="Z6"/>
      <c r="AA6"/>
      <c r="AB6"/>
      <c r="AC6"/>
      <c r="AD6"/>
      <c r="AE6"/>
    </row>
    <row r="7" spans="1:39" ht="18.75" x14ac:dyDescent="0.45">
      <c r="A7"/>
      <c r="B7"/>
      <c r="C7"/>
      <c r="D7"/>
      <c r="E7"/>
      <c r="F7"/>
      <c r="G7"/>
      <c r="I7"/>
      <c r="J7"/>
      <c r="K7"/>
      <c r="L7"/>
      <c r="M7"/>
      <c r="N7"/>
      <c r="O7"/>
      <c r="Q7"/>
      <c r="R7"/>
      <c r="S7"/>
      <c r="T7"/>
      <c r="U7"/>
      <c r="V7"/>
      <c r="W7"/>
      <c r="Y7"/>
      <c r="Z7"/>
      <c r="AA7"/>
      <c r="AB7"/>
      <c r="AC7"/>
      <c r="AD7"/>
      <c r="AE7"/>
    </row>
    <row r="8" spans="1:39" ht="18.75" x14ac:dyDescent="0.45">
      <c r="A8"/>
      <c r="B8"/>
      <c r="C8"/>
      <c r="D8"/>
      <c r="E8"/>
      <c r="F8"/>
      <c r="G8"/>
      <c r="I8"/>
      <c r="J8"/>
      <c r="K8"/>
      <c r="L8"/>
      <c r="M8"/>
      <c r="N8"/>
      <c r="O8"/>
      <c r="Q8"/>
      <c r="R8"/>
      <c r="S8"/>
      <c r="T8"/>
      <c r="U8"/>
      <c r="V8"/>
      <c r="W8"/>
      <c r="Y8"/>
      <c r="Z8"/>
      <c r="AA8"/>
      <c r="AB8"/>
      <c r="AC8"/>
      <c r="AD8"/>
      <c r="AE8"/>
    </row>
    <row r="9" spans="1:39" ht="18.75" x14ac:dyDescent="0.45">
      <c r="A9"/>
      <c r="B9"/>
      <c r="C9"/>
      <c r="D9"/>
      <c r="E9"/>
      <c r="F9"/>
      <c r="G9"/>
      <c r="I9"/>
      <c r="J9"/>
      <c r="K9"/>
      <c r="L9"/>
      <c r="M9"/>
      <c r="N9"/>
      <c r="O9"/>
      <c r="Q9"/>
      <c r="R9"/>
      <c r="S9"/>
      <c r="T9"/>
      <c r="U9"/>
      <c r="V9"/>
      <c r="W9"/>
      <c r="Y9"/>
      <c r="Z9"/>
      <c r="AA9"/>
      <c r="AB9"/>
      <c r="AC9"/>
      <c r="AD9"/>
      <c r="AE9"/>
    </row>
    <row r="10" spans="1:39" ht="18.75" x14ac:dyDescent="0.45">
      <c r="A10"/>
      <c r="B10"/>
      <c r="C10"/>
      <c r="D10"/>
      <c r="E10"/>
      <c r="F10"/>
      <c r="G10"/>
      <c r="I10"/>
      <c r="J10"/>
      <c r="K10"/>
      <c r="L10"/>
      <c r="M10"/>
      <c r="N10"/>
      <c r="O10"/>
      <c r="Q10"/>
      <c r="R10"/>
      <c r="S10"/>
      <c r="T10"/>
      <c r="U10"/>
      <c r="V10"/>
      <c r="W10"/>
      <c r="Y10"/>
      <c r="Z10"/>
      <c r="AA10"/>
      <c r="AB10"/>
      <c r="AC10"/>
      <c r="AD10"/>
      <c r="AE10"/>
    </row>
    <row r="11" spans="1:39" ht="18.75" x14ac:dyDescent="0.45">
      <c r="A11"/>
      <c r="B11"/>
      <c r="C11"/>
      <c r="D11"/>
      <c r="E11"/>
      <c r="F11"/>
      <c r="G11"/>
      <c r="I11"/>
      <c r="J11"/>
      <c r="K11"/>
      <c r="L11"/>
      <c r="M11"/>
      <c r="N11"/>
      <c r="O11"/>
      <c r="Q11"/>
      <c r="R11"/>
      <c r="S11"/>
      <c r="T11"/>
      <c r="U11"/>
      <c r="V11"/>
      <c r="W11"/>
      <c r="Y11"/>
      <c r="Z11"/>
      <c r="AA11"/>
      <c r="AB11"/>
      <c r="AC11"/>
      <c r="AD11"/>
      <c r="AE11"/>
    </row>
    <row r="12" spans="1:39" ht="18.75" x14ac:dyDescent="0.45">
      <c r="A12"/>
      <c r="B12"/>
      <c r="C12"/>
      <c r="D12"/>
      <c r="E12"/>
      <c r="F12"/>
      <c r="G12"/>
      <c r="I12"/>
      <c r="J12"/>
      <c r="K12"/>
      <c r="L12"/>
      <c r="M12"/>
      <c r="N12"/>
      <c r="O12"/>
      <c r="Q12"/>
      <c r="R12"/>
      <c r="S12"/>
      <c r="T12"/>
      <c r="U12"/>
      <c r="V12"/>
      <c r="W12"/>
      <c r="Y12"/>
      <c r="Z12"/>
      <c r="AA12"/>
      <c r="AB12"/>
      <c r="AC12"/>
      <c r="AD12"/>
      <c r="AE12"/>
    </row>
    <row r="13" spans="1:39" ht="18.75" x14ac:dyDescent="0.45">
      <c r="A13"/>
      <c r="B13"/>
      <c r="C13"/>
      <c r="D13"/>
      <c r="E13"/>
      <c r="F13"/>
      <c r="G13"/>
      <c r="I13"/>
      <c r="J13"/>
      <c r="K13"/>
      <c r="L13"/>
      <c r="M13"/>
      <c r="N13"/>
      <c r="O13"/>
      <c r="Q13"/>
      <c r="R13"/>
      <c r="S13"/>
      <c r="T13"/>
      <c r="U13"/>
      <c r="V13"/>
      <c r="W13"/>
      <c r="Y13"/>
      <c r="Z13"/>
      <c r="AA13"/>
      <c r="AB13"/>
      <c r="AC13"/>
      <c r="AD13"/>
      <c r="AE13"/>
    </row>
    <row r="14" spans="1:39" ht="18.75" x14ac:dyDescent="0.45">
      <c r="A14"/>
      <c r="B14"/>
      <c r="C14"/>
      <c r="D14"/>
      <c r="E14"/>
      <c r="F14"/>
      <c r="G14"/>
      <c r="I14"/>
      <c r="J14"/>
      <c r="K14"/>
      <c r="L14"/>
      <c r="M14"/>
      <c r="N14"/>
      <c r="O14"/>
      <c r="Q14"/>
      <c r="R14"/>
      <c r="S14"/>
      <c r="T14"/>
      <c r="U14"/>
      <c r="V14"/>
      <c r="W14"/>
      <c r="Y14"/>
      <c r="Z14"/>
      <c r="AA14"/>
      <c r="AB14"/>
      <c r="AC14"/>
      <c r="AD14"/>
      <c r="AE14"/>
    </row>
    <row r="15" spans="1:39" ht="18.75" x14ac:dyDescent="0.45">
      <c r="A15"/>
      <c r="B15"/>
      <c r="C15"/>
      <c r="D15"/>
      <c r="E15"/>
      <c r="F15"/>
      <c r="G15"/>
      <c r="I15"/>
      <c r="J15"/>
      <c r="K15"/>
      <c r="L15"/>
      <c r="M15"/>
      <c r="N15"/>
      <c r="O15"/>
      <c r="Q15"/>
      <c r="R15"/>
      <c r="S15"/>
      <c r="T15"/>
      <c r="U15"/>
      <c r="V15"/>
      <c r="W15"/>
      <c r="Y15"/>
      <c r="Z15"/>
      <c r="AA15"/>
      <c r="AB15"/>
      <c r="AC15"/>
      <c r="AD15"/>
      <c r="AE15"/>
    </row>
    <row r="16" spans="1:39" ht="18.75" x14ac:dyDescent="0.45">
      <c r="A16"/>
      <c r="B16"/>
      <c r="C16"/>
      <c r="D16"/>
      <c r="E16"/>
      <c r="F16"/>
      <c r="G16"/>
      <c r="I16"/>
      <c r="J16"/>
      <c r="K16"/>
      <c r="L16"/>
      <c r="M16"/>
      <c r="N16"/>
      <c r="O16"/>
      <c r="Q16"/>
      <c r="R16"/>
      <c r="S16"/>
      <c r="T16"/>
      <c r="U16"/>
      <c r="V16"/>
      <c r="W16"/>
      <c r="Y16"/>
      <c r="Z16"/>
      <c r="AA16"/>
      <c r="AB16"/>
      <c r="AC16"/>
      <c r="AD16"/>
      <c r="AE16"/>
    </row>
    <row r="17" spans="1:31" ht="18.75" x14ac:dyDescent="0.45">
      <c r="A17"/>
      <c r="B17"/>
      <c r="C17"/>
      <c r="D17"/>
      <c r="E17"/>
      <c r="F17"/>
      <c r="G17"/>
      <c r="I17"/>
      <c r="J17"/>
      <c r="K17"/>
      <c r="L17"/>
      <c r="M17"/>
      <c r="N17"/>
      <c r="O17"/>
      <c r="Q17"/>
      <c r="R17"/>
      <c r="S17"/>
      <c r="T17"/>
      <c r="U17"/>
      <c r="V17"/>
      <c r="W17"/>
      <c r="Y17"/>
      <c r="Z17"/>
      <c r="AA17"/>
      <c r="AB17"/>
      <c r="AC17"/>
      <c r="AD17"/>
      <c r="AE17"/>
    </row>
    <row r="18" spans="1:31" ht="18.75" x14ac:dyDescent="0.45">
      <c r="A18"/>
      <c r="B18"/>
      <c r="C18"/>
      <c r="D18"/>
      <c r="E18"/>
      <c r="F18"/>
      <c r="G18"/>
      <c r="I18"/>
      <c r="J18"/>
      <c r="K18"/>
      <c r="L18"/>
      <c r="M18"/>
      <c r="N18"/>
      <c r="O18"/>
      <c r="Q18"/>
      <c r="R18"/>
      <c r="S18"/>
      <c r="T18"/>
      <c r="U18"/>
      <c r="V18"/>
      <c r="W18"/>
      <c r="Y18"/>
      <c r="Z18"/>
      <c r="AA18"/>
      <c r="AB18"/>
      <c r="AC18"/>
      <c r="AD18"/>
      <c r="AE18"/>
    </row>
    <row r="19" spans="1:31" ht="18.75" x14ac:dyDescent="0.45">
      <c r="A19"/>
      <c r="B19"/>
      <c r="C19"/>
      <c r="D19"/>
      <c r="E19"/>
      <c r="F19"/>
      <c r="G19"/>
      <c r="I19"/>
      <c r="J19"/>
      <c r="K19"/>
      <c r="L19"/>
      <c r="M19"/>
      <c r="N19"/>
      <c r="O19"/>
      <c r="Q19"/>
      <c r="R19"/>
      <c r="S19"/>
      <c r="T19"/>
      <c r="U19"/>
      <c r="V19"/>
      <c r="W19"/>
      <c r="Y19"/>
      <c r="Z19"/>
      <c r="AA19"/>
      <c r="AB19"/>
      <c r="AC19"/>
      <c r="AD19"/>
      <c r="AE19"/>
    </row>
    <row r="20" spans="1:31" ht="18.75" x14ac:dyDescent="0.45">
      <c r="A20"/>
      <c r="B20"/>
      <c r="C20"/>
      <c r="D20"/>
      <c r="E20"/>
      <c r="F20"/>
      <c r="G20"/>
      <c r="I20"/>
      <c r="J20"/>
      <c r="K20"/>
      <c r="L20"/>
      <c r="M20"/>
      <c r="N20"/>
      <c r="O20"/>
      <c r="Q20"/>
      <c r="R20"/>
      <c r="S20"/>
      <c r="T20"/>
      <c r="U20"/>
      <c r="V20"/>
      <c r="W20"/>
      <c r="Y20"/>
      <c r="Z20"/>
      <c r="AA20"/>
      <c r="AB20"/>
      <c r="AC20"/>
      <c r="AD20"/>
      <c r="AE20"/>
    </row>
    <row r="21" spans="1:31" ht="18.75" x14ac:dyDescent="0.45">
      <c r="A21"/>
      <c r="B21"/>
      <c r="C21"/>
      <c r="D21"/>
      <c r="E21"/>
      <c r="F21"/>
      <c r="G21"/>
      <c r="I21"/>
      <c r="J21"/>
      <c r="K21"/>
      <c r="L21"/>
      <c r="M21"/>
      <c r="N21"/>
      <c r="O21"/>
      <c r="Q21"/>
      <c r="R21"/>
      <c r="S21"/>
      <c r="T21"/>
      <c r="U21"/>
      <c r="V21"/>
      <c r="W21"/>
      <c r="Y21"/>
      <c r="Z21"/>
      <c r="AA21"/>
      <c r="AB21"/>
      <c r="AC21"/>
      <c r="AD21"/>
      <c r="AE21"/>
    </row>
    <row r="22" spans="1:31" ht="18.75" x14ac:dyDescent="0.45">
      <c r="A22"/>
      <c r="B22"/>
      <c r="C22"/>
      <c r="D22"/>
      <c r="E22"/>
      <c r="F22"/>
      <c r="G22"/>
      <c r="I22"/>
      <c r="J22"/>
      <c r="K22"/>
      <c r="L22"/>
      <c r="M22"/>
      <c r="N22"/>
      <c r="O22"/>
      <c r="Q22"/>
      <c r="R22"/>
      <c r="S22"/>
      <c r="T22"/>
      <c r="U22"/>
      <c r="V22"/>
      <c r="W22"/>
      <c r="Y22"/>
      <c r="Z22"/>
      <c r="AA22"/>
      <c r="AB22"/>
      <c r="AC22"/>
      <c r="AD22"/>
      <c r="AE22"/>
    </row>
    <row r="23" spans="1:31" ht="18.75" x14ac:dyDescent="0.45">
      <c r="A23"/>
      <c r="B23"/>
      <c r="C23"/>
      <c r="D23"/>
      <c r="E23"/>
      <c r="F23"/>
      <c r="G23"/>
      <c r="I23"/>
      <c r="J23"/>
      <c r="K23"/>
      <c r="L23"/>
      <c r="M23"/>
      <c r="N23"/>
      <c r="O23"/>
      <c r="Q23"/>
      <c r="R23"/>
      <c r="S23"/>
      <c r="T23"/>
      <c r="U23"/>
      <c r="V23"/>
      <c r="W23"/>
    </row>
    <row r="24" spans="1:31" ht="18.75" x14ac:dyDescent="0.45">
      <c r="A24"/>
      <c r="B24"/>
      <c r="C24"/>
      <c r="D24"/>
      <c r="E24"/>
      <c r="F24"/>
      <c r="G24"/>
      <c r="I24"/>
      <c r="J24"/>
      <c r="K24"/>
      <c r="L24"/>
      <c r="M24"/>
      <c r="N24"/>
      <c r="O24"/>
      <c r="Q24"/>
      <c r="R24"/>
      <c r="S24"/>
      <c r="T24"/>
      <c r="U24"/>
      <c r="V24"/>
      <c r="W24"/>
    </row>
    <row r="25" spans="1:31" ht="18.75" x14ac:dyDescent="0.45">
      <c r="A25"/>
      <c r="B25"/>
      <c r="C25"/>
      <c r="D25"/>
      <c r="E25"/>
      <c r="F25"/>
      <c r="G25"/>
      <c r="I25"/>
      <c r="J25"/>
      <c r="K25"/>
      <c r="L25"/>
      <c r="M25"/>
      <c r="N25"/>
      <c r="O25"/>
      <c r="Q25"/>
      <c r="R25"/>
      <c r="S25"/>
      <c r="T25"/>
      <c r="U25"/>
      <c r="V25"/>
      <c r="W25"/>
    </row>
    <row r="26" spans="1:31" ht="18.75" x14ac:dyDescent="0.45">
      <c r="A26"/>
      <c r="B26"/>
      <c r="C26"/>
      <c r="D26"/>
      <c r="E26"/>
      <c r="F26"/>
      <c r="G26"/>
      <c r="I26"/>
      <c r="J26"/>
      <c r="K26"/>
      <c r="L26"/>
      <c r="M26"/>
      <c r="N26"/>
      <c r="O26"/>
      <c r="Q26"/>
      <c r="R26"/>
      <c r="S26"/>
      <c r="T26"/>
      <c r="U26"/>
      <c r="V26"/>
      <c r="W26"/>
    </row>
    <row r="27" spans="1:31" ht="18.75" x14ac:dyDescent="0.45">
      <c r="A27"/>
      <c r="B27"/>
      <c r="C27"/>
      <c r="D27"/>
      <c r="E27"/>
      <c r="F27"/>
      <c r="G27"/>
      <c r="I27"/>
      <c r="J27"/>
      <c r="K27"/>
      <c r="L27"/>
      <c r="M27"/>
      <c r="N27"/>
      <c r="O27"/>
      <c r="Q27"/>
      <c r="R27"/>
      <c r="S27"/>
      <c r="T27"/>
      <c r="U27"/>
      <c r="V27"/>
      <c r="W27"/>
    </row>
    <row r="28" spans="1:31" ht="18.75" x14ac:dyDescent="0.45">
      <c r="A28"/>
      <c r="B28"/>
      <c r="C28"/>
      <c r="D28"/>
      <c r="E28"/>
      <c r="F28"/>
      <c r="G28"/>
      <c r="I28"/>
      <c r="J28"/>
      <c r="K28"/>
      <c r="L28"/>
      <c r="M28"/>
      <c r="N28"/>
      <c r="O28"/>
      <c r="Q28"/>
      <c r="R28"/>
      <c r="S28"/>
      <c r="T28"/>
      <c r="U28"/>
      <c r="V28"/>
      <c r="W28"/>
    </row>
    <row r="29" spans="1:31" ht="18.75" x14ac:dyDescent="0.45">
      <c r="A29"/>
      <c r="B29"/>
      <c r="C29"/>
      <c r="D29"/>
      <c r="E29"/>
      <c r="F29"/>
      <c r="G29"/>
      <c r="I29"/>
      <c r="J29"/>
      <c r="K29"/>
      <c r="L29"/>
      <c r="M29"/>
      <c r="N29"/>
      <c r="O29"/>
      <c r="Q29"/>
      <c r="R29"/>
      <c r="S29"/>
      <c r="T29"/>
      <c r="U29"/>
      <c r="V29"/>
      <c r="W29"/>
    </row>
    <row r="30" spans="1:31" ht="18.75" x14ac:dyDescent="0.45">
      <c r="A30"/>
      <c r="B30"/>
      <c r="C30"/>
      <c r="D30"/>
      <c r="E30"/>
      <c r="F30"/>
      <c r="G30"/>
      <c r="I30"/>
      <c r="J30"/>
      <c r="K30"/>
      <c r="L30"/>
      <c r="M30"/>
      <c r="N30"/>
      <c r="O30"/>
      <c r="Q30"/>
      <c r="R30"/>
      <c r="S30"/>
      <c r="T30"/>
      <c r="U30"/>
      <c r="V30"/>
      <c r="W30"/>
    </row>
    <row r="31" spans="1:31" ht="18.75" x14ac:dyDescent="0.45">
      <c r="A31"/>
      <c r="B31"/>
      <c r="C31"/>
      <c r="D31"/>
      <c r="E31"/>
      <c r="F31"/>
      <c r="G31"/>
      <c r="I31"/>
      <c r="J31"/>
      <c r="K31"/>
      <c r="L31"/>
      <c r="M31"/>
      <c r="N31"/>
      <c r="O31"/>
      <c r="Q31"/>
      <c r="R31"/>
      <c r="S31"/>
      <c r="T31"/>
      <c r="U31"/>
      <c r="V31"/>
      <c r="W31"/>
    </row>
    <row r="32" spans="1:31" ht="18.75" x14ac:dyDescent="0.45">
      <c r="A32"/>
      <c r="B32"/>
      <c r="C32"/>
      <c r="D32"/>
      <c r="E32"/>
      <c r="F32"/>
      <c r="G32"/>
      <c r="I32"/>
      <c r="J32"/>
      <c r="K32"/>
      <c r="L32"/>
      <c r="M32"/>
      <c r="N32"/>
      <c r="O32"/>
      <c r="Q32"/>
      <c r="R32"/>
      <c r="S32"/>
      <c r="T32"/>
      <c r="U32"/>
      <c r="V32"/>
      <c r="W32"/>
    </row>
    <row r="33" spans="1:23" ht="18.75" x14ac:dyDescent="0.45">
      <c r="A33"/>
      <c r="B33"/>
      <c r="C33"/>
      <c r="D33"/>
      <c r="E33"/>
      <c r="F33"/>
      <c r="G33"/>
      <c r="I33"/>
      <c r="J33"/>
      <c r="K33"/>
      <c r="L33"/>
      <c r="M33"/>
      <c r="N33"/>
      <c r="O33"/>
      <c r="Q33"/>
      <c r="R33"/>
      <c r="S33"/>
      <c r="T33"/>
      <c r="U33"/>
      <c r="V33"/>
      <c r="W33"/>
    </row>
    <row r="34" spans="1:23" ht="18.75" x14ac:dyDescent="0.45">
      <c r="A34"/>
      <c r="B34"/>
      <c r="C34"/>
      <c r="D34"/>
      <c r="E34"/>
      <c r="F34"/>
      <c r="G34"/>
      <c r="Q34"/>
      <c r="R34"/>
      <c r="S34"/>
      <c r="T34"/>
      <c r="U34"/>
      <c r="V34"/>
      <c r="W34"/>
    </row>
    <row r="35" spans="1:23" ht="18.75" x14ac:dyDescent="0.45">
      <c r="A35"/>
      <c r="B35"/>
      <c r="C35"/>
      <c r="D35"/>
      <c r="E35"/>
      <c r="F35"/>
      <c r="G35"/>
      <c r="Q35"/>
      <c r="R35"/>
      <c r="S35"/>
      <c r="T35"/>
      <c r="U35"/>
      <c r="V35"/>
      <c r="W35"/>
    </row>
    <row r="36" spans="1:23" ht="18.75" x14ac:dyDescent="0.45">
      <c r="A36"/>
      <c r="B36"/>
      <c r="C36"/>
      <c r="D36"/>
      <c r="E36"/>
      <c r="F36"/>
      <c r="G36"/>
      <c r="Q36"/>
      <c r="R36"/>
      <c r="S36"/>
      <c r="T36"/>
      <c r="U36"/>
      <c r="V36"/>
      <c r="W36"/>
    </row>
    <row r="37" spans="1:23" ht="18.75" x14ac:dyDescent="0.45">
      <c r="A37"/>
      <c r="B37"/>
      <c r="C37"/>
      <c r="D37"/>
      <c r="E37"/>
      <c r="F37"/>
      <c r="G37"/>
    </row>
    <row r="38" spans="1:23" ht="18.75" x14ac:dyDescent="0.45">
      <c r="A38"/>
      <c r="B38"/>
      <c r="C38"/>
      <c r="D38"/>
      <c r="E38"/>
      <c r="F38"/>
      <c r="G38"/>
    </row>
    <row r="39" spans="1:23" ht="18.75" x14ac:dyDescent="0.45">
      <c r="A39"/>
      <c r="B39"/>
      <c r="C39"/>
      <c r="D39"/>
      <c r="E39"/>
      <c r="F39"/>
      <c r="G39"/>
    </row>
    <row r="40" spans="1:23" ht="18.75" x14ac:dyDescent="0.45">
      <c r="A40"/>
      <c r="B40"/>
      <c r="C40"/>
      <c r="D40"/>
      <c r="E40"/>
      <c r="F40"/>
      <c r="G40"/>
    </row>
    <row r="41" spans="1:23" ht="18.75" x14ac:dyDescent="0.45">
      <c r="A41"/>
      <c r="B41"/>
      <c r="C41"/>
      <c r="D41"/>
      <c r="E41"/>
      <c r="F41"/>
      <c r="G41"/>
    </row>
    <row r="42" spans="1:23" ht="18.75" x14ac:dyDescent="0.45">
      <c r="A42"/>
      <c r="B42"/>
      <c r="C42"/>
      <c r="D42"/>
      <c r="E42"/>
      <c r="F42"/>
      <c r="G42"/>
    </row>
    <row r="43" spans="1:23" ht="18.75" x14ac:dyDescent="0.45">
      <c r="A43"/>
      <c r="B43"/>
      <c r="C43"/>
      <c r="D43"/>
      <c r="E43"/>
      <c r="F43"/>
      <c r="G43"/>
    </row>
    <row r="44" spans="1:23" ht="18.75" x14ac:dyDescent="0.45">
      <c r="A44"/>
      <c r="B44"/>
      <c r="C44"/>
      <c r="D44"/>
      <c r="E44"/>
      <c r="F44"/>
      <c r="G44"/>
    </row>
    <row r="45" spans="1:23" ht="18.75" x14ac:dyDescent="0.45">
      <c r="A45"/>
      <c r="B45"/>
      <c r="C45"/>
      <c r="D45"/>
      <c r="E45"/>
      <c r="F45"/>
      <c r="G45"/>
    </row>
    <row r="46" spans="1:23" ht="18.75" x14ac:dyDescent="0.45">
      <c r="A46"/>
      <c r="B46"/>
      <c r="C46"/>
      <c r="D46"/>
      <c r="E46"/>
      <c r="F46"/>
      <c r="G46"/>
    </row>
    <row r="47" spans="1:23" ht="18.75" x14ac:dyDescent="0.45">
      <c r="A47"/>
      <c r="B47"/>
      <c r="C47"/>
      <c r="D47"/>
      <c r="E47"/>
      <c r="F47"/>
      <c r="G47"/>
    </row>
    <row r="48" spans="1:23" ht="18.75" x14ac:dyDescent="0.45">
      <c r="A48"/>
      <c r="B48"/>
      <c r="C48"/>
      <c r="D48"/>
      <c r="E48"/>
      <c r="F48"/>
      <c r="G48"/>
    </row>
    <row r="49" spans="1:7" ht="18.75" x14ac:dyDescent="0.45">
      <c r="A49"/>
      <c r="B49"/>
      <c r="C49"/>
      <c r="D49"/>
      <c r="E49"/>
      <c r="F49"/>
      <c r="G49"/>
    </row>
    <row r="50" spans="1:7" ht="18.75" x14ac:dyDescent="0.45">
      <c r="A50"/>
      <c r="B50"/>
      <c r="C50"/>
      <c r="D50"/>
      <c r="E50"/>
      <c r="F50"/>
      <c r="G5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6" r:id="rId4" name="btnClear">
          <controlPr defaultSize="0" autoLine="0" r:id="rId5">
            <anchor moveWithCells="1">
              <from>
                <xdr:col>33</xdr:col>
                <xdr:colOff>0</xdr:colOff>
                <xdr:row>0</xdr:row>
                <xdr:rowOff>0</xdr:rowOff>
              </from>
              <to>
                <xdr:col>34</xdr:col>
                <xdr:colOff>0</xdr:colOff>
                <xdr:row>1</xdr:row>
                <xdr:rowOff>9525</xdr:rowOff>
              </to>
            </anchor>
          </controlPr>
        </control>
      </mc:Choice>
      <mc:Fallback>
        <control shapeId="26626" r:id="rId4" name="btnClear"/>
      </mc:Fallback>
    </mc:AlternateContent>
    <mc:AlternateContent xmlns:mc="http://schemas.openxmlformats.org/markup-compatibility/2006">
      <mc:Choice Requires="x14">
        <control shapeId="26625" r:id="rId6" name="btnMakeTables">
          <controlPr defaultSize="0" autoLine="0" r:id="rId7">
            <anchor moveWithCells="1">
              <from>
                <xdr:col>32</xdr:col>
                <xdr:colOff>0</xdr:colOff>
                <xdr:row>0</xdr:row>
                <xdr:rowOff>0</xdr:rowOff>
              </from>
              <to>
                <xdr:col>33</xdr:col>
                <xdr:colOff>0</xdr:colOff>
                <xdr:row>1</xdr:row>
                <xdr:rowOff>9525</xdr:rowOff>
              </to>
            </anchor>
          </controlPr>
        </control>
      </mc:Choice>
      <mc:Fallback>
        <control shapeId="26625" r:id="rId6" name="btnMakeTables"/>
      </mc:Fallback>
    </mc:AlternateContent>
  </controls>
  <tableParts count="4">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6" customWidth="1"/>
    <col min="2" max="2" width="8.88671875" style="136"/>
    <col min="3" max="20" width="3.109375" style="136" customWidth="1"/>
    <col min="21" max="21" width="13.33203125" style="136" customWidth="1"/>
    <col min="22" max="22" width="7.33203125" style="136" customWidth="1"/>
    <col min="23" max="23" width="8.88671875" style="136"/>
    <col min="24" max="24" width="9.77734375" style="136" customWidth="1"/>
    <col min="25" max="16384" width="8.88671875" style="136"/>
  </cols>
  <sheetData>
    <row r="1" spans="1:25" s="189" customFormat="1" ht="16.5" customHeight="1" x14ac:dyDescent="0.45">
      <c r="A1" s="213"/>
      <c r="B1" s="213"/>
      <c r="C1" s="214" t="s">
        <v>1601</v>
      </c>
      <c r="D1" s="214"/>
      <c r="E1" s="214"/>
      <c r="F1" s="214"/>
      <c r="G1" s="214"/>
      <c r="H1" s="214"/>
      <c r="I1" s="214"/>
      <c r="J1" s="214"/>
      <c r="K1" s="214"/>
      <c r="L1" s="214"/>
      <c r="M1" s="214"/>
      <c r="N1" s="214"/>
      <c r="O1" s="214"/>
      <c r="P1" s="214"/>
      <c r="Q1" s="214"/>
      <c r="R1" s="214"/>
      <c r="S1" s="214"/>
      <c r="T1" s="214"/>
      <c r="W1" s="1" t="s">
        <v>1600</v>
      </c>
      <c r="X1" s="1" t="s">
        <v>1599</v>
      </c>
      <c r="Y1" s="1" t="s">
        <v>1598</v>
      </c>
    </row>
    <row r="2" spans="1:25" s="189" customFormat="1" ht="59.25" customHeight="1" x14ac:dyDescent="0.4">
      <c r="A2" s="213"/>
      <c r="B2" s="213"/>
      <c r="C2" s="212" t="s">
        <v>68</v>
      </c>
      <c r="D2" s="211" t="s">
        <v>47</v>
      </c>
      <c r="E2" s="210" t="s">
        <v>32</v>
      </c>
      <c r="F2" s="209" t="s">
        <v>3</v>
      </c>
      <c r="G2" s="208" t="s">
        <v>72</v>
      </c>
      <c r="H2" s="207" t="s">
        <v>29</v>
      </c>
      <c r="I2" s="206" t="s">
        <v>43</v>
      </c>
      <c r="J2" s="205" t="s">
        <v>16</v>
      </c>
      <c r="K2" s="204" t="s">
        <v>4</v>
      </c>
      <c r="L2" s="203" t="s">
        <v>22</v>
      </c>
      <c r="M2" s="202" t="s">
        <v>111</v>
      </c>
      <c r="N2" s="201" t="s">
        <v>8</v>
      </c>
      <c r="O2" s="200" t="s">
        <v>12</v>
      </c>
      <c r="P2" s="199" t="s">
        <v>62</v>
      </c>
      <c r="Q2" s="198" t="s">
        <v>18</v>
      </c>
      <c r="R2" s="197" t="s">
        <v>90</v>
      </c>
      <c r="S2" s="196" t="s">
        <v>78</v>
      </c>
      <c r="T2" s="195" t="s">
        <v>61</v>
      </c>
      <c r="U2" s="194" t="s">
        <v>1590</v>
      </c>
      <c r="V2" s="193" t="s">
        <v>1597</v>
      </c>
      <c r="W2" s="192" t="s">
        <v>1549</v>
      </c>
      <c r="X2" s="191" t="s">
        <v>1548</v>
      </c>
      <c r="Y2" s="190" t="s">
        <v>1547</v>
      </c>
    </row>
    <row r="3" spans="1:25" x14ac:dyDescent="0.45">
      <c r="A3" s="525" t="s">
        <v>1596</v>
      </c>
      <c r="B3" s="188" t="s">
        <v>68</v>
      </c>
      <c r="C3" s="152"/>
      <c r="D3" s="152"/>
      <c r="E3" s="152"/>
      <c r="F3" s="152"/>
      <c r="G3" s="152"/>
      <c r="H3" s="152"/>
      <c r="I3" s="154" t="s">
        <v>1595</v>
      </c>
      <c r="J3" s="161" t="s">
        <v>1576</v>
      </c>
      <c r="K3" s="154" t="s">
        <v>1579</v>
      </c>
      <c r="L3" s="152"/>
      <c r="M3" s="152"/>
      <c r="N3" s="152"/>
      <c r="O3" s="152"/>
      <c r="P3" s="152"/>
      <c r="Q3" s="152"/>
      <c r="R3" s="152"/>
      <c r="S3" s="152"/>
      <c r="T3" s="152"/>
      <c r="U3" s="280" t="s">
        <v>1586</v>
      </c>
      <c r="V3" s="173" t="s">
        <v>1867</v>
      </c>
      <c r="X3" s="176" t="s">
        <v>2772</v>
      </c>
      <c r="Y3" s="156" t="s">
        <v>1874</v>
      </c>
    </row>
    <row r="4" spans="1:25" x14ac:dyDescent="0.45">
      <c r="A4" s="525"/>
      <c r="B4" s="187" t="s">
        <v>47</v>
      </c>
      <c r="C4" s="153" t="s">
        <v>1584</v>
      </c>
      <c r="D4" s="152"/>
      <c r="E4" s="154" t="s">
        <v>1579</v>
      </c>
      <c r="F4" s="152"/>
      <c r="G4" s="154" t="s">
        <v>1579</v>
      </c>
      <c r="H4" s="154" t="s">
        <v>1579</v>
      </c>
      <c r="I4" s="153" t="s">
        <v>1584</v>
      </c>
      <c r="J4" s="161" t="s">
        <v>1576</v>
      </c>
      <c r="K4" s="153" t="s">
        <v>1584</v>
      </c>
      <c r="L4" s="152"/>
      <c r="M4" s="152"/>
      <c r="N4" s="152"/>
      <c r="O4" s="152"/>
      <c r="P4" s="153" t="s">
        <v>1594</v>
      </c>
      <c r="Q4" s="154" t="s">
        <v>1579</v>
      </c>
      <c r="R4" s="152"/>
      <c r="S4" s="153" t="s">
        <v>1584</v>
      </c>
      <c r="T4" s="154" t="s">
        <v>1579</v>
      </c>
      <c r="U4" s="281" t="s">
        <v>1585</v>
      </c>
      <c r="V4" s="139" t="s">
        <v>1868</v>
      </c>
      <c r="W4" s="173" t="s">
        <v>2814</v>
      </c>
      <c r="X4" s="138" t="s">
        <v>2773</v>
      </c>
      <c r="Y4" s="156" t="s">
        <v>2774</v>
      </c>
    </row>
    <row r="5" spans="1:25" x14ac:dyDescent="0.45">
      <c r="A5" s="525"/>
      <c r="B5" s="186" t="s">
        <v>32</v>
      </c>
      <c r="C5" s="152"/>
      <c r="D5" s="152"/>
      <c r="E5" s="154" t="s">
        <v>1579</v>
      </c>
      <c r="F5" s="154" t="s">
        <v>1579</v>
      </c>
      <c r="G5" s="152"/>
      <c r="H5" s="152"/>
      <c r="I5" s="154" t="s">
        <v>1579</v>
      </c>
      <c r="J5" s="154" t="s">
        <v>1579</v>
      </c>
      <c r="K5" s="161" t="s">
        <v>1576</v>
      </c>
      <c r="L5" s="152"/>
      <c r="M5" s="152"/>
      <c r="N5" s="152"/>
      <c r="O5" s="153" t="s">
        <v>1584</v>
      </c>
      <c r="P5" s="152"/>
      <c r="Q5" s="152"/>
      <c r="R5" s="152"/>
      <c r="S5" s="152"/>
      <c r="T5" s="153" t="s">
        <v>1584</v>
      </c>
      <c r="U5" s="281" t="s">
        <v>1585</v>
      </c>
      <c r="V5" s="138" t="s">
        <v>1869</v>
      </c>
      <c r="W5" s="168" t="s">
        <v>2775</v>
      </c>
      <c r="X5" s="138" t="s">
        <v>2776</v>
      </c>
      <c r="Y5" s="159" t="s">
        <v>2777</v>
      </c>
    </row>
    <row r="6" spans="1:25" x14ac:dyDescent="0.45">
      <c r="A6" s="525"/>
      <c r="B6" s="185" t="s">
        <v>3</v>
      </c>
      <c r="C6" s="152"/>
      <c r="D6" s="152"/>
      <c r="E6" s="153" t="s">
        <v>1584</v>
      </c>
      <c r="F6" s="152"/>
      <c r="G6" s="161" t="s">
        <v>1576</v>
      </c>
      <c r="H6" s="154" t="s">
        <v>1579</v>
      </c>
      <c r="I6" s="153" t="s">
        <v>1584</v>
      </c>
      <c r="J6" s="152"/>
      <c r="K6" s="153" t="s">
        <v>1584</v>
      </c>
      <c r="L6" s="153" t="s">
        <v>1584</v>
      </c>
      <c r="M6" s="152"/>
      <c r="N6" s="153" t="s">
        <v>1584</v>
      </c>
      <c r="O6" s="154" t="s">
        <v>1579</v>
      </c>
      <c r="P6" s="152"/>
      <c r="Q6" s="152"/>
      <c r="R6" s="152"/>
      <c r="S6" s="152"/>
      <c r="T6" s="152"/>
      <c r="U6" s="282" t="s">
        <v>1592</v>
      </c>
      <c r="V6" s="165" t="s">
        <v>1870</v>
      </c>
      <c r="W6" s="138" t="s">
        <v>2779</v>
      </c>
      <c r="X6" s="177" t="s">
        <v>2780</v>
      </c>
      <c r="Y6" s="171" t="s">
        <v>2781</v>
      </c>
    </row>
    <row r="7" spans="1:25" x14ac:dyDescent="0.45">
      <c r="A7" s="525"/>
      <c r="B7" s="184" t="s">
        <v>72</v>
      </c>
      <c r="C7" s="152"/>
      <c r="D7" s="153" t="s">
        <v>1584</v>
      </c>
      <c r="E7" s="152"/>
      <c r="F7" s="152"/>
      <c r="G7" s="152"/>
      <c r="H7" s="153" t="s">
        <v>1584</v>
      </c>
      <c r="I7" s="154" t="s">
        <v>1579</v>
      </c>
      <c r="J7" s="152"/>
      <c r="K7" s="154" t="s">
        <v>1579</v>
      </c>
      <c r="L7" s="152"/>
      <c r="M7" s="152"/>
      <c r="N7" s="154" t="s">
        <v>1579</v>
      </c>
      <c r="O7" s="153" t="s">
        <v>1584</v>
      </c>
      <c r="P7" s="152"/>
      <c r="Q7" s="152"/>
      <c r="R7" s="152"/>
      <c r="S7" s="152"/>
      <c r="T7" s="152"/>
      <c r="U7" s="283" t="s">
        <v>1577</v>
      </c>
      <c r="V7" s="171" t="s">
        <v>1871</v>
      </c>
      <c r="W7" s="139" t="s">
        <v>2782</v>
      </c>
      <c r="X7" s="176" t="s">
        <v>2783</v>
      </c>
      <c r="Y7" s="171"/>
    </row>
    <row r="8" spans="1:25" x14ac:dyDescent="0.45">
      <c r="A8" s="525"/>
      <c r="B8" s="183" t="s">
        <v>29</v>
      </c>
      <c r="C8" s="152"/>
      <c r="D8" s="154" t="s">
        <v>1579</v>
      </c>
      <c r="E8" s="154" t="s">
        <v>1579</v>
      </c>
      <c r="F8" s="152"/>
      <c r="G8" s="154" t="s">
        <v>1579</v>
      </c>
      <c r="H8" s="152"/>
      <c r="I8" s="152"/>
      <c r="J8" s="154" t="s">
        <v>1579</v>
      </c>
      <c r="K8" s="154" t="s">
        <v>1579</v>
      </c>
      <c r="L8" s="154" t="s">
        <v>1579</v>
      </c>
      <c r="M8" s="152"/>
      <c r="N8" s="152"/>
      <c r="O8" s="153" t="s">
        <v>1584</v>
      </c>
      <c r="P8" s="152"/>
      <c r="Q8" s="153" t="s">
        <v>1584</v>
      </c>
      <c r="R8" s="152"/>
      <c r="S8" s="153" t="s">
        <v>1584</v>
      </c>
      <c r="T8" s="154" t="s">
        <v>1579</v>
      </c>
      <c r="U8" s="284" t="s">
        <v>1582</v>
      </c>
      <c r="V8" s="177" t="s">
        <v>1872</v>
      </c>
      <c r="W8" s="168" t="s">
        <v>2784</v>
      </c>
      <c r="X8" s="139" t="s">
        <v>2785</v>
      </c>
      <c r="Y8" s="171"/>
    </row>
    <row r="9" spans="1:25" x14ac:dyDescent="0.45">
      <c r="A9" s="525"/>
      <c r="B9" s="182" t="s">
        <v>43</v>
      </c>
      <c r="C9" s="152"/>
      <c r="D9" s="154" t="s">
        <v>1579</v>
      </c>
      <c r="E9" s="152"/>
      <c r="F9" s="154" t="s">
        <v>1579</v>
      </c>
      <c r="G9" s="153" t="s">
        <v>1584</v>
      </c>
      <c r="H9" s="153" t="s">
        <v>1584</v>
      </c>
      <c r="I9" s="152"/>
      <c r="J9" s="152"/>
      <c r="K9" s="154" t="s">
        <v>1579</v>
      </c>
      <c r="L9" s="153" t="s">
        <v>1584</v>
      </c>
      <c r="M9" s="152"/>
      <c r="N9" s="152"/>
      <c r="O9" s="152"/>
      <c r="P9" s="153" t="s">
        <v>1584</v>
      </c>
      <c r="Q9" s="152"/>
      <c r="R9" s="152"/>
      <c r="S9" s="152"/>
      <c r="T9" s="152"/>
      <c r="U9" s="280" t="s">
        <v>1586</v>
      </c>
      <c r="V9" s="176" t="s">
        <v>1873</v>
      </c>
      <c r="W9" s="171" t="s">
        <v>2786</v>
      </c>
      <c r="X9" s="139" t="s">
        <v>2787</v>
      </c>
      <c r="Y9" s="171"/>
    </row>
    <row r="10" spans="1:25" x14ac:dyDescent="0.45">
      <c r="A10" s="525"/>
      <c r="B10" s="181" t="s">
        <v>16</v>
      </c>
      <c r="C10" s="161" t="s">
        <v>1576</v>
      </c>
      <c r="D10" s="152"/>
      <c r="E10" s="152"/>
      <c r="F10" s="152"/>
      <c r="G10" s="152"/>
      <c r="H10" s="152"/>
      <c r="I10" s="152"/>
      <c r="J10" s="153" t="s">
        <v>1584</v>
      </c>
      <c r="K10" s="152"/>
      <c r="L10" s="152"/>
      <c r="M10" s="152"/>
      <c r="N10" s="152"/>
      <c r="O10" s="152"/>
      <c r="P10" s="152"/>
      <c r="Q10" s="153" t="s">
        <v>1584</v>
      </c>
      <c r="R10" s="152"/>
      <c r="S10" s="154" t="s">
        <v>1579</v>
      </c>
      <c r="T10" s="152"/>
      <c r="U10" s="285" t="s">
        <v>1574</v>
      </c>
      <c r="V10" s="156" t="s">
        <v>1874</v>
      </c>
      <c r="W10" s="156" t="s">
        <v>2788</v>
      </c>
      <c r="X10" s="157" t="s">
        <v>2789</v>
      </c>
      <c r="Y10" s="173" t="s">
        <v>1889</v>
      </c>
    </row>
    <row r="11" spans="1:25" x14ac:dyDescent="0.45">
      <c r="A11" s="525"/>
      <c r="B11" s="180" t="s">
        <v>4</v>
      </c>
      <c r="C11" s="152"/>
      <c r="D11" s="152"/>
      <c r="E11" s="152"/>
      <c r="F11" s="152"/>
      <c r="G11" s="152"/>
      <c r="H11" s="152"/>
      <c r="I11" s="153" t="s">
        <v>1584</v>
      </c>
      <c r="J11" s="152"/>
      <c r="K11" s="154" t="s">
        <v>1579</v>
      </c>
      <c r="L11" s="154" t="s">
        <v>1579</v>
      </c>
      <c r="M11" s="154" t="s">
        <v>1579</v>
      </c>
      <c r="N11" s="154" t="s">
        <v>1579</v>
      </c>
      <c r="O11" s="152"/>
      <c r="P11" s="153" t="s">
        <v>1584</v>
      </c>
      <c r="Q11" s="152"/>
      <c r="R11" s="152"/>
      <c r="S11" s="152"/>
      <c r="T11" s="153" t="s">
        <v>1593</v>
      </c>
      <c r="U11" s="286" t="s">
        <v>1580</v>
      </c>
      <c r="V11" s="159" t="s">
        <v>1875</v>
      </c>
      <c r="W11" s="176" t="s">
        <v>2790</v>
      </c>
      <c r="X11" s="159" t="s">
        <v>2791</v>
      </c>
      <c r="Y11" s="173"/>
    </row>
    <row r="12" spans="1:25" x14ac:dyDescent="0.45">
      <c r="A12" s="525"/>
      <c r="B12" s="179" t="s">
        <v>22</v>
      </c>
      <c r="C12" s="152"/>
      <c r="D12" s="152"/>
      <c r="E12" s="152"/>
      <c r="F12" s="152"/>
      <c r="G12" s="152"/>
      <c r="H12" s="153" t="s">
        <v>1584</v>
      </c>
      <c r="I12" s="154" t="s">
        <v>1579</v>
      </c>
      <c r="J12" s="152"/>
      <c r="K12" s="153" t="s">
        <v>1584</v>
      </c>
      <c r="L12" s="154" t="s">
        <v>1579</v>
      </c>
      <c r="M12" s="154" t="s">
        <v>1579</v>
      </c>
      <c r="N12" s="152"/>
      <c r="O12" s="153" t="s">
        <v>1584</v>
      </c>
      <c r="P12" s="153" t="s">
        <v>1584</v>
      </c>
      <c r="Q12" s="152"/>
      <c r="R12" s="154" t="s">
        <v>1579</v>
      </c>
      <c r="S12" s="152"/>
      <c r="T12" s="152"/>
      <c r="U12" s="282" t="s">
        <v>1592</v>
      </c>
      <c r="V12" s="178" t="s">
        <v>1876</v>
      </c>
      <c r="W12" s="177" t="s">
        <v>2792</v>
      </c>
      <c r="X12" s="176" t="s">
        <v>2793</v>
      </c>
      <c r="Y12" s="173"/>
    </row>
    <row r="13" spans="1:25" x14ac:dyDescent="0.45">
      <c r="A13" s="525"/>
      <c r="B13" s="175" t="s">
        <v>111</v>
      </c>
      <c r="C13" s="152"/>
      <c r="D13" s="152"/>
      <c r="E13" s="152"/>
      <c r="F13" s="153" t="s">
        <v>1584</v>
      </c>
      <c r="G13" s="152"/>
      <c r="H13" s="152"/>
      <c r="I13" s="153" t="s">
        <v>1584</v>
      </c>
      <c r="J13" s="152"/>
      <c r="K13" s="152"/>
      <c r="L13" s="153" t="s">
        <v>1584</v>
      </c>
      <c r="M13" s="154" t="s">
        <v>1579</v>
      </c>
      <c r="N13" s="152"/>
      <c r="O13" s="154" t="s">
        <v>1579</v>
      </c>
      <c r="P13" s="152"/>
      <c r="Q13" s="152"/>
      <c r="R13" s="154" t="s">
        <v>1579</v>
      </c>
      <c r="S13" s="152"/>
      <c r="T13" s="152"/>
      <c r="U13" s="284" t="s">
        <v>1582</v>
      </c>
      <c r="V13" s="174" t="s">
        <v>1877</v>
      </c>
      <c r="W13" s="165" t="s">
        <v>2794</v>
      </c>
      <c r="X13" s="174" t="s">
        <v>2795</v>
      </c>
      <c r="Y13" s="173"/>
    </row>
    <row r="14" spans="1:25" x14ac:dyDescent="0.45">
      <c r="A14" s="525"/>
      <c r="B14" s="172" t="s">
        <v>8</v>
      </c>
      <c r="C14" s="152"/>
      <c r="D14" s="152"/>
      <c r="E14" s="152"/>
      <c r="F14" s="161" t="s">
        <v>1576</v>
      </c>
      <c r="G14" s="153" t="s">
        <v>1584</v>
      </c>
      <c r="H14" s="152"/>
      <c r="I14" s="152"/>
      <c r="J14" s="152"/>
      <c r="K14" s="152"/>
      <c r="L14" s="152"/>
      <c r="M14" s="153" t="s">
        <v>1584</v>
      </c>
      <c r="N14" s="154" t="s">
        <v>1579</v>
      </c>
      <c r="O14" s="154" t="s">
        <v>1579</v>
      </c>
      <c r="P14" s="152"/>
      <c r="Q14" s="152"/>
      <c r="R14" s="154" t="s">
        <v>1579</v>
      </c>
      <c r="S14" s="152"/>
      <c r="T14" s="152"/>
      <c r="U14" s="284" t="s">
        <v>1582</v>
      </c>
      <c r="V14" s="170" t="s">
        <v>1878</v>
      </c>
      <c r="W14" s="171" t="s">
        <v>2796</v>
      </c>
      <c r="X14" s="170" t="s">
        <v>1896</v>
      </c>
      <c r="Y14" s="165" t="s">
        <v>1892</v>
      </c>
    </row>
    <row r="15" spans="1:25" x14ac:dyDescent="0.45">
      <c r="A15" s="525"/>
      <c r="B15" s="169" t="s">
        <v>12</v>
      </c>
      <c r="C15" s="152"/>
      <c r="D15" s="152"/>
      <c r="E15" s="154" t="s">
        <v>1579</v>
      </c>
      <c r="F15" s="153" t="s">
        <v>1584</v>
      </c>
      <c r="G15" s="154" t="s">
        <v>1579</v>
      </c>
      <c r="H15" s="154" t="s">
        <v>1579</v>
      </c>
      <c r="I15" s="153" t="s">
        <v>1584</v>
      </c>
      <c r="J15" s="152"/>
      <c r="K15" s="154" t="s">
        <v>1579</v>
      </c>
      <c r="L15" s="154" t="s">
        <v>1579</v>
      </c>
      <c r="M15" s="153" t="s">
        <v>1584</v>
      </c>
      <c r="N15" s="152"/>
      <c r="O15" s="154" t="s">
        <v>1579</v>
      </c>
      <c r="P15" s="152"/>
      <c r="Q15" s="152"/>
      <c r="R15" s="154" t="s">
        <v>1579</v>
      </c>
      <c r="S15" s="152"/>
      <c r="T15" s="152"/>
      <c r="U15" s="282" t="s">
        <v>1592</v>
      </c>
      <c r="V15" s="168" t="s">
        <v>1879</v>
      </c>
      <c r="W15" s="165" t="s">
        <v>2797</v>
      </c>
      <c r="X15" s="138" t="s">
        <v>2798</v>
      </c>
      <c r="Y15" s="165"/>
    </row>
    <row r="16" spans="1:25" x14ac:dyDescent="0.45">
      <c r="A16" s="525"/>
      <c r="B16" s="167" t="s">
        <v>62</v>
      </c>
      <c r="C16" s="152"/>
      <c r="D16" s="152"/>
      <c r="E16" s="152"/>
      <c r="F16" s="153" t="s">
        <v>1584</v>
      </c>
      <c r="G16" s="153" t="s">
        <v>1584</v>
      </c>
      <c r="H16" s="152"/>
      <c r="I16" s="152"/>
      <c r="J16" s="152"/>
      <c r="K16" s="154" t="s">
        <v>1579</v>
      </c>
      <c r="L16" s="154" t="s">
        <v>1579</v>
      </c>
      <c r="M16" s="154" t="s">
        <v>1579</v>
      </c>
      <c r="N16" s="152"/>
      <c r="O16" s="153" t="s">
        <v>1584</v>
      </c>
      <c r="P16" s="154" t="s">
        <v>1579</v>
      </c>
      <c r="Q16" s="152"/>
      <c r="R16" s="153" t="s">
        <v>1584</v>
      </c>
      <c r="S16" s="152"/>
      <c r="T16" s="152"/>
      <c r="U16" s="286" t="s">
        <v>1580</v>
      </c>
      <c r="V16" s="166" t="s">
        <v>1880</v>
      </c>
      <c r="W16" s="165" t="s">
        <v>2799</v>
      </c>
      <c r="X16" s="159" t="s">
        <v>2800</v>
      </c>
      <c r="Y16" s="165"/>
    </row>
    <row r="17" spans="1:25" x14ac:dyDescent="0.45">
      <c r="A17" s="525"/>
      <c r="B17" s="164" t="s">
        <v>18</v>
      </c>
      <c r="C17" s="152"/>
      <c r="D17" s="153" t="s">
        <v>1584</v>
      </c>
      <c r="E17" s="153" t="s">
        <v>1584</v>
      </c>
      <c r="F17" s="152"/>
      <c r="G17" s="152"/>
      <c r="H17" s="152"/>
      <c r="I17" s="152"/>
      <c r="J17" s="152"/>
      <c r="K17" s="154" t="s">
        <v>1579</v>
      </c>
      <c r="L17" s="152"/>
      <c r="M17" s="152"/>
      <c r="N17" s="152"/>
      <c r="O17" s="152"/>
      <c r="P17" s="152"/>
      <c r="Q17" s="154" t="s">
        <v>1579</v>
      </c>
      <c r="R17" s="152"/>
      <c r="S17" s="161" t="s">
        <v>1576</v>
      </c>
      <c r="T17" s="152"/>
      <c r="U17" s="283" t="s">
        <v>1577</v>
      </c>
      <c r="V17" s="163" t="s">
        <v>1881</v>
      </c>
      <c r="W17" s="139" t="s">
        <v>2801</v>
      </c>
      <c r="X17" s="159" t="s">
        <v>2802</v>
      </c>
      <c r="Y17" s="157" t="s">
        <v>1891</v>
      </c>
    </row>
    <row r="18" spans="1:25" x14ac:dyDescent="0.45">
      <c r="A18" s="525"/>
      <c r="B18" s="162" t="s">
        <v>90</v>
      </c>
      <c r="C18" s="152"/>
      <c r="D18" s="152"/>
      <c r="E18" s="152"/>
      <c r="F18" s="152"/>
      <c r="G18" s="152"/>
      <c r="H18" s="152"/>
      <c r="I18" s="152"/>
      <c r="J18" s="152"/>
      <c r="K18" s="154" t="s">
        <v>1579</v>
      </c>
      <c r="L18" s="152"/>
      <c r="M18" s="152"/>
      <c r="N18" s="152"/>
      <c r="O18" s="152"/>
      <c r="P18" s="152"/>
      <c r="Q18" s="152"/>
      <c r="R18" s="153" t="s">
        <v>1584</v>
      </c>
      <c r="S18" s="152"/>
      <c r="T18" s="161" t="s">
        <v>1576</v>
      </c>
      <c r="U18" s="283" t="s">
        <v>1577</v>
      </c>
      <c r="V18" s="160" t="s">
        <v>1882</v>
      </c>
      <c r="W18" s="160" t="s">
        <v>2803</v>
      </c>
      <c r="X18" s="159" t="s">
        <v>2778</v>
      </c>
      <c r="Y18" s="140" t="s">
        <v>2804</v>
      </c>
    </row>
    <row r="19" spans="1:25" x14ac:dyDescent="0.45">
      <c r="A19" s="525"/>
      <c r="B19" s="158" t="s">
        <v>78</v>
      </c>
      <c r="C19" s="152"/>
      <c r="D19" s="154" t="s">
        <v>1579</v>
      </c>
      <c r="E19" s="152"/>
      <c r="F19" s="152"/>
      <c r="G19" s="152"/>
      <c r="H19" s="152"/>
      <c r="I19" s="152"/>
      <c r="J19" s="153" t="s">
        <v>1584</v>
      </c>
      <c r="K19" s="152"/>
      <c r="L19" s="152"/>
      <c r="M19" s="152"/>
      <c r="N19" s="152"/>
      <c r="O19" s="152"/>
      <c r="P19" s="152"/>
      <c r="Q19" s="153" t="s">
        <v>1584</v>
      </c>
      <c r="R19" s="152"/>
      <c r="S19" s="154" t="s">
        <v>1579</v>
      </c>
      <c r="T19" s="154" t="s">
        <v>1579</v>
      </c>
      <c r="U19" s="285" t="s">
        <v>1574</v>
      </c>
      <c r="V19" s="157" t="s">
        <v>1883</v>
      </c>
      <c r="W19" s="156" t="s">
        <v>2788</v>
      </c>
      <c r="X19" s="139" t="s">
        <v>1897</v>
      </c>
      <c r="Y19" s="140"/>
    </row>
    <row r="20" spans="1:25" x14ac:dyDescent="0.45">
      <c r="A20" s="525"/>
      <c r="B20" s="155" t="s">
        <v>61</v>
      </c>
      <c r="C20" s="152"/>
      <c r="D20" s="153" t="s">
        <v>1584</v>
      </c>
      <c r="E20" s="154" t="s">
        <v>1579</v>
      </c>
      <c r="F20" s="152"/>
      <c r="G20" s="152"/>
      <c r="H20" s="152"/>
      <c r="I20" s="152"/>
      <c r="J20" s="152"/>
      <c r="K20" s="154" t="s">
        <v>1579</v>
      </c>
      <c r="L20" s="154" t="s">
        <v>1579</v>
      </c>
      <c r="M20" s="152"/>
      <c r="N20" s="152"/>
      <c r="O20" s="152"/>
      <c r="P20" s="152"/>
      <c r="Q20" s="152"/>
      <c r="R20" s="153" t="s">
        <v>1584</v>
      </c>
      <c r="S20" s="153" t="s">
        <v>1584</v>
      </c>
      <c r="T20" s="152"/>
      <c r="U20" s="281" t="s">
        <v>1585</v>
      </c>
      <c r="V20" s="140" t="s">
        <v>1884</v>
      </c>
      <c r="W20" s="139" t="s">
        <v>2805</v>
      </c>
      <c r="X20" s="138" t="s">
        <v>2806</v>
      </c>
      <c r="Y20" s="140"/>
    </row>
    <row r="21" spans="1:25" s="147" customFormat="1" x14ac:dyDescent="0.45">
      <c r="A21" s="151"/>
      <c r="W21" s="150"/>
      <c r="X21" s="149"/>
      <c r="Y21" s="148"/>
    </row>
    <row r="22" spans="1:25" s="147" customFormat="1" x14ac:dyDescent="0.45">
      <c r="A22" s="151"/>
      <c r="T22" s="266"/>
      <c r="U22" s="265"/>
      <c r="V22" s="264" t="s">
        <v>1591</v>
      </c>
      <c r="W22" s="150"/>
      <c r="X22" s="149"/>
      <c r="Y22" s="148"/>
    </row>
    <row r="23" spans="1:25" s="147" customFormat="1" x14ac:dyDescent="0.45">
      <c r="T23" s="266"/>
      <c r="U23" s="265" t="s">
        <v>1590</v>
      </c>
      <c r="V23" s="264">
        <v>1.2</v>
      </c>
      <c r="W23" s="150"/>
      <c r="X23" s="149"/>
      <c r="Y23" s="148"/>
    </row>
    <row r="24" spans="1:25" s="147" customFormat="1" x14ac:dyDescent="0.45">
      <c r="B24" s="264" t="s">
        <v>332</v>
      </c>
      <c r="C24" s="264" t="s">
        <v>1589</v>
      </c>
      <c r="T24" s="266"/>
      <c r="U24" s="265" t="s">
        <v>1558</v>
      </c>
      <c r="V24" s="264">
        <v>1.2</v>
      </c>
      <c r="W24" s="150"/>
      <c r="X24" s="149"/>
      <c r="Y24" s="148"/>
    </row>
    <row r="25" spans="1:25" s="147" customFormat="1" x14ac:dyDescent="0.45">
      <c r="B25" s="414" t="s">
        <v>1588</v>
      </c>
      <c r="C25" s="415" t="s">
        <v>1895</v>
      </c>
      <c r="T25" s="266"/>
      <c r="U25" s="265" t="s">
        <v>1587</v>
      </c>
      <c r="V25" s="264">
        <v>1.3</v>
      </c>
      <c r="W25" s="150"/>
      <c r="X25" s="149"/>
      <c r="Y25" s="148"/>
    </row>
    <row r="26" spans="1:25" s="147" customFormat="1" x14ac:dyDescent="0.45">
      <c r="B26" s="416" t="s">
        <v>1586</v>
      </c>
      <c r="C26" s="417" t="s">
        <v>1898</v>
      </c>
      <c r="T26" s="266"/>
      <c r="U26" s="265"/>
      <c r="V26" s="264"/>
      <c r="W26" s="150"/>
      <c r="X26" s="149"/>
      <c r="Y26" s="148"/>
    </row>
    <row r="27" spans="1:25" s="147" customFormat="1" x14ac:dyDescent="0.45">
      <c r="B27" s="418" t="s">
        <v>1585</v>
      </c>
      <c r="C27" s="419" t="s">
        <v>1899</v>
      </c>
      <c r="T27" s="267" t="s">
        <v>1584</v>
      </c>
      <c r="U27" s="265" t="s">
        <v>1583</v>
      </c>
      <c r="V27" s="264">
        <v>1.6</v>
      </c>
      <c r="W27" s="150"/>
      <c r="X27" s="149"/>
      <c r="Y27" s="148"/>
    </row>
    <row r="28" spans="1:25" s="147" customFormat="1" x14ac:dyDescent="0.45">
      <c r="B28" s="420" t="s">
        <v>1582</v>
      </c>
      <c r="C28" s="421" t="s">
        <v>1900</v>
      </c>
      <c r="T28" s="268"/>
      <c r="U28" s="265" t="s">
        <v>1581</v>
      </c>
      <c r="V28" s="264">
        <v>1</v>
      </c>
      <c r="W28" s="150"/>
      <c r="X28" s="149"/>
      <c r="Y28" s="148"/>
    </row>
    <row r="29" spans="1:25" s="147" customFormat="1" x14ac:dyDescent="0.45">
      <c r="B29" s="422" t="s">
        <v>1580</v>
      </c>
      <c r="C29" s="423" t="s">
        <v>2807</v>
      </c>
      <c r="T29" s="269" t="s">
        <v>1579</v>
      </c>
      <c r="U29" s="265" t="s">
        <v>1578</v>
      </c>
      <c r="V29" s="264">
        <v>0.625</v>
      </c>
      <c r="W29" s="150"/>
      <c r="X29" s="149"/>
      <c r="Y29" s="148"/>
    </row>
    <row r="30" spans="1:25" s="143" customFormat="1" x14ac:dyDescent="0.45">
      <c r="A30" s="147"/>
      <c r="B30" s="424" t="s">
        <v>1577</v>
      </c>
      <c r="C30" s="425" t="s">
        <v>1901</v>
      </c>
      <c r="D30" s="147"/>
      <c r="E30" s="147"/>
      <c r="F30" s="147"/>
      <c r="G30" s="147"/>
      <c r="H30" s="147"/>
      <c r="I30" s="147"/>
      <c r="J30" s="147"/>
      <c r="K30" s="147"/>
      <c r="L30" s="147"/>
      <c r="M30" s="147"/>
      <c r="N30" s="147"/>
      <c r="O30" s="147"/>
      <c r="P30" s="147"/>
      <c r="Q30" s="147"/>
      <c r="R30" s="147"/>
      <c r="S30" s="147"/>
      <c r="T30" s="270" t="s">
        <v>1576</v>
      </c>
      <c r="U30" s="265" t="s">
        <v>1575</v>
      </c>
      <c r="V30" s="264">
        <v>0.390625</v>
      </c>
      <c r="W30" s="146"/>
      <c r="X30" s="145"/>
      <c r="Y30" s="144"/>
    </row>
    <row r="31" spans="1:25" x14ac:dyDescent="0.45">
      <c r="A31" s="142"/>
      <c r="B31" s="426" t="s">
        <v>1574</v>
      </c>
      <c r="C31" s="427" t="s">
        <v>1902</v>
      </c>
      <c r="D31" s="142"/>
      <c r="E31" s="142"/>
      <c r="F31" s="142"/>
      <c r="G31" s="142"/>
      <c r="H31" s="142"/>
      <c r="I31" s="142"/>
      <c r="J31" s="142"/>
      <c r="K31" s="142"/>
      <c r="L31" s="142"/>
      <c r="M31" s="142"/>
      <c r="N31" s="142"/>
      <c r="O31" s="142"/>
      <c r="P31" s="142"/>
      <c r="Q31" s="142"/>
      <c r="R31" s="142"/>
      <c r="S31" s="142"/>
      <c r="T31" s="270"/>
      <c r="U31" s="265"/>
      <c r="V31" s="264"/>
      <c r="W31" s="139"/>
      <c r="X31" s="138"/>
      <c r="Y31" s="140"/>
    </row>
    <row r="32" spans="1:25" x14ac:dyDescent="0.45">
      <c r="C32" s="141"/>
      <c r="T32" s="270"/>
      <c r="U32" s="265" t="s">
        <v>3018</v>
      </c>
      <c r="V32" s="264">
        <v>0.5</v>
      </c>
      <c r="W32" s="139"/>
      <c r="X32" s="138"/>
      <c r="Y32" s="140"/>
    </row>
    <row r="33" spans="2:25" x14ac:dyDescent="0.45">
      <c r="T33" s="142"/>
      <c r="V33" s="279"/>
      <c r="W33" s="139"/>
      <c r="X33" s="138"/>
      <c r="Y33" s="140"/>
    </row>
    <row r="34" spans="2:25" x14ac:dyDescent="0.45">
      <c r="B34" s="137"/>
      <c r="U34" s="136" t="s">
        <v>1573</v>
      </c>
      <c r="V34" s="279"/>
      <c r="W34" s="139"/>
      <c r="X34" s="138"/>
      <c r="Y34" s="140"/>
    </row>
    <row r="35" spans="2:25" x14ac:dyDescent="0.45">
      <c r="V35" s="279"/>
      <c r="W35" s="139"/>
      <c r="X35" s="138"/>
      <c r="Y35" s="140"/>
    </row>
    <row r="36" spans="2:25" x14ac:dyDescent="0.45">
      <c r="U36" s="137"/>
      <c r="V36" s="279"/>
      <c r="W36" s="139"/>
      <c r="X36" s="138"/>
      <c r="Y36" s="140"/>
    </row>
    <row r="37" spans="2:25" x14ac:dyDescent="0.45">
      <c r="B37" s="137"/>
      <c r="U37" s="137"/>
      <c r="V37" s="279"/>
      <c r="W37" s="139"/>
      <c r="X37" s="138"/>
    </row>
    <row r="38" spans="2:25" x14ac:dyDescent="0.45">
      <c r="B38" s="137"/>
      <c r="U38" s="137"/>
      <c r="V38" s="279"/>
      <c r="W38" s="139"/>
      <c r="X38" s="138"/>
    </row>
    <row r="39" spans="2:25" x14ac:dyDescent="0.45">
      <c r="B39" s="137"/>
      <c r="U39" s="137"/>
      <c r="V39" s="279"/>
    </row>
    <row r="40" spans="2:25" x14ac:dyDescent="0.45">
      <c r="B40" s="137"/>
      <c r="U40" s="137"/>
      <c r="V40" s="279"/>
    </row>
    <row r="41" spans="2:25" x14ac:dyDescent="0.45">
      <c r="B41" s="137"/>
      <c r="U41" s="137"/>
    </row>
    <row r="42" spans="2:25" x14ac:dyDescent="0.45">
      <c r="B42" s="137"/>
    </row>
    <row r="43" spans="2:25" x14ac:dyDescent="0.45">
      <c r="B43" s="137"/>
      <c r="U43" s="137"/>
    </row>
    <row r="44" spans="2:25" x14ac:dyDescent="0.45">
      <c r="B44" s="137"/>
      <c r="U44" s="137"/>
    </row>
    <row r="45" spans="2:25" x14ac:dyDescent="0.45">
      <c r="B45" s="137"/>
    </row>
    <row r="46" spans="2:25" x14ac:dyDescent="0.45">
      <c r="U46" s="137"/>
    </row>
    <row r="47" spans="2:25" x14ac:dyDescent="0.45">
      <c r="U47" s="137"/>
    </row>
    <row r="48" spans="2:25" x14ac:dyDescent="0.45">
      <c r="U48" s="137"/>
    </row>
    <row r="49" spans="21:21" x14ac:dyDescent="0.45">
      <c r="U49" s="137"/>
    </row>
    <row r="50" spans="21:21" x14ac:dyDescent="0.45">
      <c r="U50" s="137"/>
    </row>
    <row r="51" spans="21:21" x14ac:dyDescent="0.45">
      <c r="U51" s="137"/>
    </row>
    <row r="52" spans="21:21" x14ac:dyDescent="0.45">
      <c r="U52" s="137"/>
    </row>
    <row r="53" spans="21:21" x14ac:dyDescent="0.45">
      <c r="U53" s="137"/>
    </row>
    <row r="54" spans="21:21" x14ac:dyDescent="0.45">
      <c r="U54" s="137"/>
    </row>
  </sheetData>
  <mergeCells count="1">
    <mergeCell ref="A3:A20"/>
  </mergeCells>
  <phoneticPr fontId="3"/>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AA80"/>
  <sheetViews>
    <sheetView zoomScale="90" zoomScaleNormal="90" workbookViewId="0">
      <selection activeCell="A2" sqref="A2"/>
    </sheetView>
  </sheetViews>
  <sheetFormatPr defaultRowHeight="18.75" x14ac:dyDescent="0.45"/>
  <cols>
    <col min="1" max="1" width="5" style="216" customWidth="1"/>
    <col min="2" max="2" width="12.33203125" style="216" customWidth="1"/>
    <col min="5" max="5" width="8.88671875" style="215"/>
    <col min="7" max="7" width="10.6640625" style="10" customWidth="1"/>
    <col min="8" max="8" width="4.21875" style="10" customWidth="1"/>
    <col min="9" max="10" width="6.44140625" style="10" customWidth="1"/>
    <col min="11" max="11" width="5.6640625" style="10" customWidth="1"/>
    <col min="12" max="12" width="8.6640625" style="10" customWidth="1"/>
    <col min="13" max="13" width="6.6640625" style="10" customWidth="1"/>
    <col min="14" max="14" width="4.21875" style="10" customWidth="1"/>
    <col min="15" max="15" width="10.109375" style="10" customWidth="1"/>
    <col min="16" max="18" width="7.88671875" style="10" customWidth="1"/>
    <col min="19" max="26" width="8.88671875" style="10"/>
  </cols>
  <sheetData>
    <row r="1" spans="1:27" s="223" customFormat="1" ht="17.25" thickBot="1" x14ac:dyDescent="0.5">
      <c r="A1" s="226" t="s">
        <v>1605</v>
      </c>
      <c r="B1" s="225" t="s">
        <v>1604</v>
      </c>
      <c r="C1" s="224" t="s">
        <v>1603</v>
      </c>
      <c r="D1" s="224" t="s">
        <v>1602</v>
      </c>
      <c r="E1" s="243" t="s">
        <v>2551</v>
      </c>
      <c r="G1" s="10" t="s">
        <v>2865</v>
      </c>
      <c r="H1" s="245" t="s">
        <v>1767</v>
      </c>
      <c r="I1" s="245" t="s">
        <v>1799</v>
      </c>
      <c r="J1" s="245" t="s">
        <v>1800</v>
      </c>
      <c r="K1" s="10"/>
      <c r="L1" s="10" t="s">
        <v>3386</v>
      </c>
      <c r="M1" s="480" t="s">
        <v>3419</v>
      </c>
      <c r="N1" s="480" t="s">
        <v>3388</v>
      </c>
      <c r="O1" s="480" t="s">
        <v>3387</v>
      </c>
      <c r="P1" s="10"/>
      <c r="Q1" s="10"/>
      <c r="R1" s="10"/>
    </row>
    <row r="2" spans="1:27" ht="19.5" thickBot="1" x14ac:dyDescent="0.5">
      <c r="A2" s="222">
        <v>40</v>
      </c>
      <c r="B2" s="221">
        <v>0.79030001000000005</v>
      </c>
      <c r="C2" s="218">
        <v>10000</v>
      </c>
      <c r="D2" s="218">
        <v>15</v>
      </c>
      <c r="E2" s="217">
        <f>(CPM表[[#This Row],[CPM]]-B3)/B3</f>
        <v>3.5892404252833242E-3</v>
      </c>
      <c r="G2" s="10" t="s">
        <v>2866</v>
      </c>
      <c r="H2" s="244">
        <v>0</v>
      </c>
      <c r="I2" s="244">
        <v>1</v>
      </c>
      <c r="J2" s="244">
        <v>1</v>
      </c>
      <c r="M2" s="10" t="s">
        <v>3389</v>
      </c>
      <c r="N2" s="10">
        <v>1</v>
      </c>
      <c r="O2" s="10" t="s">
        <v>3390</v>
      </c>
    </row>
    <row r="3" spans="1:27" ht="19.5" thickBot="1" x14ac:dyDescent="0.5">
      <c r="A3" s="222">
        <v>39.5</v>
      </c>
      <c r="B3" s="221">
        <v>0.78747357799999995</v>
      </c>
      <c r="C3" s="218">
        <v>10000</v>
      </c>
      <c r="D3" s="218">
        <v>15</v>
      </c>
      <c r="E3" s="217">
        <f>(CPM表[[#This Row],[CPM]]-B4)/B4</f>
        <v>3.6151852493006577E-3</v>
      </c>
      <c r="H3" s="244">
        <v>1</v>
      </c>
      <c r="I3" s="244">
        <v>1.25</v>
      </c>
      <c r="J3" s="244">
        <v>0.8</v>
      </c>
      <c r="N3" s="10">
        <v>2</v>
      </c>
      <c r="O3" s="10" t="s">
        <v>3391</v>
      </c>
    </row>
    <row r="4" spans="1:27" ht="19.5" thickBot="1" x14ac:dyDescent="0.5">
      <c r="A4" s="222">
        <v>39</v>
      </c>
      <c r="B4" s="221">
        <v>0.78463696999999999</v>
      </c>
      <c r="C4" s="218">
        <v>9000</v>
      </c>
      <c r="D4" s="218">
        <v>12</v>
      </c>
      <c r="E4" s="217">
        <f>(CPM表[[#This Row],[CPM]]-B5)/B5</f>
        <v>3.6415339153936994E-3</v>
      </c>
      <c r="H4" s="244">
        <v>2</v>
      </c>
      <c r="I4" s="244">
        <v>1.5</v>
      </c>
      <c r="J4" s="244">
        <v>0.67</v>
      </c>
      <c r="N4" s="10">
        <v>2</v>
      </c>
      <c r="O4" s="10" t="s">
        <v>3392</v>
      </c>
    </row>
    <row r="5" spans="1:27" ht="19.5" thickBot="1" x14ac:dyDescent="0.5">
      <c r="A5" s="222">
        <v>38.5</v>
      </c>
      <c r="B5" s="221">
        <v>0.78179005499999998</v>
      </c>
      <c r="C5" s="218">
        <v>9000</v>
      </c>
      <c r="D5" s="218">
        <v>12</v>
      </c>
      <c r="E5" s="217">
        <f>(CPM表[[#This Row],[CPM]]-B6)/B6</f>
        <v>3.6682306656127019E-3</v>
      </c>
      <c r="H5" s="244">
        <v>3</v>
      </c>
      <c r="I5" s="244">
        <v>1.75</v>
      </c>
      <c r="J5" s="244">
        <v>0.56999999999999995</v>
      </c>
      <c r="N5" s="10">
        <v>2</v>
      </c>
      <c r="O5" s="10" t="s">
        <v>3393</v>
      </c>
    </row>
    <row r="6" spans="1:27" ht="19.5" thickBot="1" x14ac:dyDescent="0.5">
      <c r="A6" s="222">
        <v>38</v>
      </c>
      <c r="B6" s="221">
        <v>0.77893274999999995</v>
      </c>
      <c r="C6" s="218">
        <v>9000</v>
      </c>
      <c r="D6" s="218">
        <v>12</v>
      </c>
      <c r="E6" s="217">
        <f>(CPM表[[#This Row],[CPM]]-B7)/B7</f>
        <v>3.6952937452676576E-3</v>
      </c>
      <c r="H6" s="244">
        <v>4</v>
      </c>
      <c r="I6" s="244">
        <v>2</v>
      </c>
      <c r="J6" s="244">
        <v>0.5</v>
      </c>
      <c r="N6" s="10">
        <v>3</v>
      </c>
      <c r="O6" s="10" t="s">
        <v>3394</v>
      </c>
    </row>
    <row r="7" spans="1:27" ht="19.5" thickBot="1" x14ac:dyDescent="0.5">
      <c r="A7" s="222">
        <v>37.5</v>
      </c>
      <c r="B7" s="221">
        <v>0.77606496199999997</v>
      </c>
      <c r="C7" s="218">
        <v>9000</v>
      </c>
      <c r="D7" s="218">
        <v>12</v>
      </c>
      <c r="E7" s="217">
        <f>(CPM表[[#This Row],[CPM]]-B8)/B8</f>
        <v>3.7228559991670453E-3</v>
      </c>
      <c r="N7" s="10">
        <v>3</v>
      </c>
      <c r="O7" s="10" t="s">
        <v>3395</v>
      </c>
    </row>
    <row r="8" spans="1:27" ht="19.5" thickBot="1" x14ac:dyDescent="0.5">
      <c r="A8" s="222">
        <v>37</v>
      </c>
      <c r="B8" s="221">
        <v>0.7731865</v>
      </c>
      <c r="C8" s="218">
        <v>8000</v>
      </c>
      <c r="D8" s="218">
        <v>10</v>
      </c>
      <c r="E8" s="217">
        <f>(CPM表[[#This Row],[CPM]]-B9)/B9</f>
        <v>3.7508039136672239E-3</v>
      </c>
      <c r="N8" s="10">
        <v>3</v>
      </c>
      <c r="O8" s="10" t="s">
        <v>3404</v>
      </c>
    </row>
    <row r="9" spans="1:27" ht="19.5" thickBot="1" x14ac:dyDescent="0.5">
      <c r="A9" s="222">
        <v>36.5</v>
      </c>
      <c r="B9" s="221">
        <v>0.77029726600000004</v>
      </c>
      <c r="C9" s="218">
        <v>8000</v>
      </c>
      <c r="D9" s="218">
        <v>10</v>
      </c>
      <c r="E9" s="217">
        <f>(CPM表[[#This Row],[CPM]]-B10)/B10</f>
        <v>3.7791330400659077E-3</v>
      </c>
      <c r="G9" s="10" t="s">
        <v>2552</v>
      </c>
      <c r="M9" s="10" t="s">
        <v>3397</v>
      </c>
      <c r="N9" s="10">
        <v>1</v>
      </c>
      <c r="O9" s="10" t="s">
        <v>3396</v>
      </c>
    </row>
    <row r="10" spans="1:27" ht="19.5" thickBot="1" x14ac:dyDescent="0.5">
      <c r="A10" s="222">
        <v>36</v>
      </c>
      <c r="B10" s="221">
        <v>0.76739716999999996</v>
      </c>
      <c r="C10" s="218">
        <v>8000</v>
      </c>
      <c r="D10" s="218">
        <v>10</v>
      </c>
      <c r="E10" s="217">
        <f>(CPM表[[#This Row],[CPM]]-B11)/B11</f>
        <v>3.8079242163817778E-3</v>
      </c>
      <c r="N10" s="10">
        <v>2</v>
      </c>
      <c r="O10" s="10" t="s">
        <v>3398</v>
      </c>
    </row>
    <row r="11" spans="1:27" ht="19.5" thickBot="1" x14ac:dyDescent="0.5">
      <c r="A11" s="222">
        <v>35.5</v>
      </c>
      <c r="B11" s="221">
        <v>0.76448606500000005</v>
      </c>
      <c r="C11" s="218">
        <v>8000</v>
      </c>
      <c r="D11" s="218">
        <v>10</v>
      </c>
      <c r="E11" s="217">
        <f>(CPM表[[#This Row],[CPM]]-B12)/B12</f>
        <v>3.8371372779464636E-3</v>
      </c>
      <c r="N11" s="10">
        <v>2</v>
      </c>
      <c r="O11" s="10" t="s">
        <v>3399</v>
      </c>
    </row>
    <row r="12" spans="1:27" ht="19.5" thickBot="1" x14ac:dyDescent="0.5">
      <c r="A12" s="222">
        <v>35</v>
      </c>
      <c r="B12" s="221">
        <v>0.76156383999999999</v>
      </c>
      <c r="C12" s="218">
        <v>7000</v>
      </c>
      <c r="D12" s="218">
        <v>8</v>
      </c>
      <c r="E12" s="217">
        <f>(CPM表[[#This Row],[CPM]]-B13)/B13</f>
        <v>3.8667868899918975E-3</v>
      </c>
      <c r="N12" s="10">
        <v>2</v>
      </c>
      <c r="O12" s="10" t="s">
        <v>3400</v>
      </c>
    </row>
    <row r="13" spans="1:27" ht="19.5" thickBot="1" x14ac:dyDescent="0.5">
      <c r="A13" s="222">
        <v>34.5</v>
      </c>
      <c r="B13" s="221">
        <v>0.75863037799999999</v>
      </c>
      <c r="C13" s="218">
        <v>7000</v>
      </c>
      <c r="D13" s="218">
        <v>8</v>
      </c>
      <c r="E13" s="217">
        <f>(CPM表[[#This Row],[CPM]]-B14)/B14</f>
        <v>3.8969491422431073E-3</v>
      </c>
      <c r="N13" s="10">
        <v>3</v>
      </c>
      <c r="O13" s="10" t="s">
        <v>3401</v>
      </c>
    </row>
    <row r="14" spans="1:27" ht="19.5" thickBot="1" x14ac:dyDescent="0.5">
      <c r="A14" s="222">
        <v>34</v>
      </c>
      <c r="B14" s="221">
        <v>0.75568550999999995</v>
      </c>
      <c r="C14" s="218">
        <v>7000</v>
      </c>
      <c r="D14" s="218">
        <v>8</v>
      </c>
      <c r="E14" s="217">
        <f>(CPM表[[#This Row],[CPM]]-B15)/B15</f>
        <v>3.9276056300452033E-3</v>
      </c>
      <c r="N14" s="10">
        <v>3</v>
      </c>
      <c r="O14" s="10" t="s">
        <v>3402</v>
      </c>
    </row>
    <row r="15" spans="1:27" ht="19.5" thickBot="1" x14ac:dyDescent="0.5">
      <c r="A15" s="222">
        <v>33.5</v>
      </c>
      <c r="B15" s="221">
        <v>0.75272908699999996</v>
      </c>
      <c r="C15" s="218">
        <v>7000</v>
      </c>
      <c r="D15" s="218">
        <v>8</v>
      </c>
      <c r="E15" s="217">
        <f>(CPM表[[#This Row],[CPM]]-B16)/B16</f>
        <v>3.9586572809917862E-3</v>
      </c>
      <c r="N15" s="10">
        <v>3</v>
      </c>
      <c r="O15" s="10" t="s">
        <v>3403</v>
      </c>
      <c r="AA15" s="10"/>
    </row>
    <row r="16" spans="1:27" ht="19.5" thickBot="1" x14ac:dyDescent="0.5">
      <c r="A16" s="222">
        <v>33</v>
      </c>
      <c r="B16" s="221">
        <v>0.74976103999999999</v>
      </c>
      <c r="C16" s="218">
        <v>6000</v>
      </c>
      <c r="D16" s="218">
        <v>6</v>
      </c>
      <c r="E16" s="217">
        <f>(CPM表[[#This Row],[CPM]]-B17)/B17</f>
        <v>3.9902302791065339E-3</v>
      </c>
      <c r="M16" s="10" t="s">
        <v>3412</v>
      </c>
      <c r="N16" s="10">
        <v>1</v>
      </c>
      <c r="O16" s="10" t="s">
        <v>3405</v>
      </c>
    </row>
    <row r="17" spans="1:15" ht="19.5" thickBot="1" x14ac:dyDescent="0.5">
      <c r="A17" s="222">
        <v>32.5</v>
      </c>
      <c r="B17" s="221">
        <v>0.74678121099999994</v>
      </c>
      <c r="C17" s="218">
        <v>6000</v>
      </c>
      <c r="D17" s="218">
        <v>6</v>
      </c>
      <c r="E17" s="217">
        <f>(CPM表[[#This Row],[CPM]]-B18)/B18</f>
        <v>4.0223494437128145E-3</v>
      </c>
      <c r="N17" s="10">
        <v>2</v>
      </c>
      <c r="O17" s="10" t="s">
        <v>3406</v>
      </c>
    </row>
    <row r="18" spans="1:15" ht="19.5" thickBot="1" x14ac:dyDescent="0.5">
      <c r="A18" s="222">
        <v>32</v>
      </c>
      <c r="B18" s="221">
        <v>0.74378942999999997</v>
      </c>
      <c r="C18" s="218">
        <v>6000</v>
      </c>
      <c r="D18" s="218">
        <v>6</v>
      </c>
      <c r="E18" s="217">
        <f>(CPM表[[#This Row],[CPM]]-B19)/B19</f>
        <v>4.0549601739409301E-3</v>
      </c>
      <c r="N18" s="10">
        <v>2</v>
      </c>
      <c r="O18" s="10" t="s">
        <v>3407</v>
      </c>
    </row>
    <row r="19" spans="1:15" ht="19.5" thickBot="1" x14ac:dyDescent="0.5">
      <c r="A19" s="222">
        <v>31.5</v>
      </c>
      <c r="B19" s="221">
        <v>0.740785574</v>
      </c>
      <c r="C19" s="218">
        <v>6000</v>
      </c>
      <c r="D19" s="218">
        <v>6</v>
      </c>
      <c r="E19" s="217">
        <f>(CPM表[[#This Row],[CPM]]-B20)/B20</f>
        <v>4.0881251959623277E-3</v>
      </c>
      <c r="N19" s="10">
        <v>2</v>
      </c>
      <c r="O19" s="10" t="s">
        <v>3408</v>
      </c>
    </row>
    <row r="20" spans="1:15" ht="19.5" thickBot="1" x14ac:dyDescent="0.5">
      <c r="A20" s="222">
        <v>31</v>
      </c>
      <c r="B20" s="221">
        <v>0.73776947999999998</v>
      </c>
      <c r="C20" s="218">
        <v>5000</v>
      </c>
      <c r="D20" s="218">
        <v>4</v>
      </c>
      <c r="E20" s="217">
        <f>(CPM表[[#This Row],[CPM]]-B21)/B21</f>
        <v>4.1218211082594313E-3</v>
      </c>
      <c r="N20" s="10">
        <v>3</v>
      </c>
      <c r="O20" s="10" t="s">
        <v>3409</v>
      </c>
    </row>
    <row r="21" spans="1:15" ht="19.5" thickBot="1" x14ac:dyDescent="0.5">
      <c r="A21" s="222">
        <v>30.5</v>
      </c>
      <c r="B21" s="221">
        <v>0.73474100899999994</v>
      </c>
      <c r="C21" s="218">
        <v>5000</v>
      </c>
      <c r="D21" s="218">
        <v>4</v>
      </c>
      <c r="E21" s="217">
        <f>(CPM表[[#This Row],[CPM]]-B22)/B22</f>
        <v>4.1560871942051764E-3</v>
      </c>
      <c r="N21" s="10">
        <v>3</v>
      </c>
      <c r="O21" s="10" t="s">
        <v>3410</v>
      </c>
    </row>
    <row r="22" spans="1:15" ht="19.5" thickBot="1" x14ac:dyDescent="0.5">
      <c r="A22" s="222">
        <v>30</v>
      </c>
      <c r="B22" s="221">
        <v>0.73170000000000002</v>
      </c>
      <c r="C22" s="218">
        <v>5000</v>
      </c>
      <c r="D22" s="218">
        <v>4</v>
      </c>
      <c r="E22" s="217">
        <f>(CPM表[[#This Row],[CPM]]-B23)/B23</f>
        <v>8.4463730463346619E-3</v>
      </c>
      <c r="N22" s="10">
        <v>3</v>
      </c>
      <c r="O22" s="10" t="s">
        <v>3411</v>
      </c>
    </row>
    <row r="23" spans="1:15" ht="19.5" thickBot="1" x14ac:dyDescent="0.5">
      <c r="A23" s="222">
        <v>29.5</v>
      </c>
      <c r="B23" s="221">
        <v>0.72557155200000001</v>
      </c>
      <c r="C23" s="218">
        <v>5000</v>
      </c>
      <c r="D23" s="218">
        <v>4</v>
      </c>
      <c r="E23" s="217">
        <f>(CPM表[[#This Row],[CPM]]-B24)/B24</f>
        <v>8.5800247537149224E-3</v>
      </c>
      <c r="M23" s="10" t="s">
        <v>3413</v>
      </c>
      <c r="N23" s="10">
        <v>1</v>
      </c>
      <c r="O23" s="10" t="s">
        <v>3414</v>
      </c>
    </row>
    <row r="24" spans="1:15" ht="19.5" thickBot="1" x14ac:dyDescent="0.5">
      <c r="A24" s="222">
        <v>29</v>
      </c>
      <c r="B24" s="221">
        <v>0.71939909000000002</v>
      </c>
      <c r="C24" s="218">
        <v>4500</v>
      </c>
      <c r="D24" s="218">
        <v>4</v>
      </c>
      <c r="E24" s="217">
        <f>(CPM表[[#This Row],[CPM]]-B25)/B25</f>
        <v>8.74144697926252E-3</v>
      </c>
      <c r="N24" s="10">
        <v>2</v>
      </c>
      <c r="O24" s="10" t="s">
        <v>3415</v>
      </c>
    </row>
    <row r="25" spans="1:15" ht="19.5" customHeight="1" thickBot="1" x14ac:dyDescent="0.5">
      <c r="A25" s="222">
        <v>28.5</v>
      </c>
      <c r="B25" s="221">
        <v>0.71316499600000005</v>
      </c>
      <c r="C25" s="218">
        <v>4500</v>
      </c>
      <c r="D25" s="218">
        <v>4</v>
      </c>
      <c r="E25" s="217">
        <f>(CPM表[[#This Row],[CPM]]-B26)/B26</f>
        <v>8.8851694678539189E-3</v>
      </c>
      <c r="N25" s="10">
        <v>2</v>
      </c>
      <c r="O25" s="10" t="s">
        <v>3416</v>
      </c>
    </row>
    <row r="26" spans="1:15" ht="19.5" thickBot="1" x14ac:dyDescent="0.5">
      <c r="A26" s="222">
        <v>28</v>
      </c>
      <c r="B26" s="221">
        <v>0.70688421000000001</v>
      </c>
      <c r="C26" s="218">
        <v>4500</v>
      </c>
      <c r="D26" s="218">
        <v>4</v>
      </c>
      <c r="E26" s="217">
        <f>(CPM表[[#This Row],[CPM]]-B27)/B27</f>
        <v>9.0580823651402725E-3</v>
      </c>
      <c r="N26" s="10">
        <v>2</v>
      </c>
      <c r="O26" s="10" t="s">
        <v>3417</v>
      </c>
    </row>
    <row r="27" spans="1:15" ht="19.5" thickBot="1" x14ac:dyDescent="0.5">
      <c r="A27" s="222">
        <v>27.5</v>
      </c>
      <c r="B27" s="221">
        <v>0.70053867299999995</v>
      </c>
      <c r="C27" s="218">
        <v>4500</v>
      </c>
      <c r="D27" s="218">
        <v>4</v>
      </c>
      <c r="E27" s="217">
        <f>(CPM表[[#This Row],[CPM]]-B28)/B28</f>
        <v>9.2128235992649989E-3</v>
      </c>
      <c r="N27" s="10">
        <v>3</v>
      </c>
      <c r="O27" s="10" t="s">
        <v>3418</v>
      </c>
    </row>
    <row r="28" spans="1:15" ht="19.5" thickBot="1" x14ac:dyDescent="0.5">
      <c r="A28" s="222">
        <v>27</v>
      </c>
      <c r="B28" s="221">
        <v>0.69414365</v>
      </c>
      <c r="C28" s="218">
        <v>4000</v>
      </c>
      <c r="D28" s="218">
        <v>4</v>
      </c>
      <c r="E28" s="217">
        <f>(CPM表[[#This Row],[CPM]]-B29)/B29</f>
        <v>9.3982606880047784E-3</v>
      </c>
    </row>
    <row r="29" spans="1:15" ht="19.5" thickBot="1" x14ac:dyDescent="0.5">
      <c r="A29" s="222">
        <v>26.5</v>
      </c>
      <c r="B29" s="221">
        <v>0.68768064799999995</v>
      </c>
      <c r="C29" s="218">
        <v>4000</v>
      </c>
      <c r="D29" s="218">
        <v>4</v>
      </c>
      <c r="E29" s="217">
        <f>(CPM表[[#This Row],[CPM]]-B30)/B30</f>
        <v>9.5655660012556112E-3</v>
      </c>
    </row>
    <row r="30" spans="1:15" ht="19.5" thickBot="1" x14ac:dyDescent="0.5">
      <c r="A30" s="222">
        <v>26</v>
      </c>
      <c r="B30" s="221">
        <v>0.68116491999999995</v>
      </c>
      <c r="C30" s="218">
        <v>4000</v>
      </c>
      <c r="D30" s="218">
        <v>3</v>
      </c>
      <c r="E30" s="217">
        <f>(CPM表[[#This Row],[CPM]]-B31)/B31</f>
        <v>9.765197681048705E-3</v>
      </c>
    </row>
    <row r="31" spans="1:15" ht="19.5" thickBot="1" x14ac:dyDescent="0.5">
      <c r="A31" s="222">
        <v>25.5</v>
      </c>
      <c r="B31" s="221">
        <v>0.674577537</v>
      </c>
      <c r="C31" s="218">
        <v>4000</v>
      </c>
      <c r="D31" s="218">
        <v>3</v>
      </c>
      <c r="E31" s="217">
        <f>(CPM表[[#This Row],[CPM]]-B32)/B32</f>
        <v>9.9463973985453313E-3</v>
      </c>
    </row>
    <row r="32" spans="1:15" ht="19.5" thickBot="1" x14ac:dyDescent="0.5">
      <c r="A32" s="222">
        <v>25</v>
      </c>
      <c r="B32" s="221">
        <v>0.66793400000000003</v>
      </c>
      <c r="C32" s="218">
        <v>3500</v>
      </c>
      <c r="D32" s="218">
        <v>3</v>
      </c>
      <c r="E32" s="217">
        <f>(CPM表[[#This Row],[CPM]]-B33)/B33</f>
        <v>1.0161892835775344E-2</v>
      </c>
    </row>
    <row r="33" spans="1:5" ht="19.5" thickBot="1" x14ac:dyDescent="0.5">
      <c r="A33" s="222">
        <v>24.5</v>
      </c>
      <c r="B33" s="221">
        <v>0.66121480600000004</v>
      </c>
      <c r="C33" s="218">
        <v>3500</v>
      </c>
      <c r="D33" s="218">
        <v>3</v>
      </c>
      <c r="E33" s="217">
        <f>(CPM表[[#This Row],[CPM]]-B34)/B34</f>
        <v>1.035881252370076E-2</v>
      </c>
    </row>
    <row r="34" spans="1:5" ht="19.5" thickBot="1" x14ac:dyDescent="0.5">
      <c r="A34" s="222">
        <v>24</v>
      </c>
      <c r="B34" s="221">
        <v>0.65443563000000005</v>
      </c>
      <c r="C34" s="218">
        <v>3500</v>
      </c>
      <c r="D34" s="218">
        <v>3</v>
      </c>
      <c r="E34" s="217">
        <f>(CPM表[[#This Row],[CPM]]-B35)/B35</f>
        <v>1.0592115037862825E-2</v>
      </c>
    </row>
    <row r="35" spans="1:5" ht="19.5" thickBot="1" x14ac:dyDescent="0.5">
      <c r="A35" s="222">
        <v>23.5</v>
      </c>
      <c r="B35" s="221">
        <v>0.64757642599999998</v>
      </c>
      <c r="C35" s="218">
        <v>3500</v>
      </c>
      <c r="D35" s="218">
        <v>3</v>
      </c>
      <c r="E35" s="217">
        <f>(CPM表[[#This Row],[CPM]]-B36)/B36</f>
        <v>1.0806905673344646E-2</v>
      </c>
    </row>
    <row r="36" spans="1:5" ht="19.5" thickBot="1" x14ac:dyDescent="0.5">
      <c r="A36" s="222">
        <v>23</v>
      </c>
      <c r="B36" s="221">
        <v>0.64065295</v>
      </c>
      <c r="C36" s="218">
        <v>3000</v>
      </c>
      <c r="D36" s="218">
        <v>3</v>
      </c>
      <c r="E36" s="217">
        <f>(CPM表[[#This Row],[CPM]]-B37)/B37</f>
        <v>1.106048681082835E-2</v>
      </c>
    </row>
    <row r="37" spans="1:5" ht="19.5" thickBot="1" x14ac:dyDescent="0.5">
      <c r="A37" s="222">
        <v>22.5</v>
      </c>
      <c r="B37" s="221">
        <v>0.63364453300000001</v>
      </c>
      <c r="C37" s="218">
        <v>3000</v>
      </c>
      <c r="D37" s="218">
        <v>3</v>
      </c>
      <c r="E37" s="217">
        <f>(CPM表[[#This Row],[CPM]]-B38)/B38</f>
        <v>1.1295522316978291E-2</v>
      </c>
    </row>
    <row r="38" spans="1:5" ht="19.5" thickBot="1" x14ac:dyDescent="0.5">
      <c r="A38" s="222">
        <v>22</v>
      </c>
      <c r="B38" s="221">
        <v>0.62656712999999997</v>
      </c>
      <c r="C38" s="218">
        <v>3000</v>
      </c>
      <c r="D38" s="218">
        <v>3</v>
      </c>
      <c r="E38" s="217">
        <f>(CPM表[[#This Row],[CPM]]-B39)/B39</f>
        <v>1.1572121970128168E-2</v>
      </c>
    </row>
    <row r="39" spans="1:5" ht="19.5" thickBot="1" x14ac:dyDescent="0.5">
      <c r="A39" s="222">
        <v>21.5</v>
      </c>
      <c r="B39" s="221">
        <v>0.61939936500000004</v>
      </c>
      <c r="C39" s="218">
        <v>3000</v>
      </c>
      <c r="D39" s="218">
        <v>3</v>
      </c>
      <c r="E39" s="217">
        <f>(CPM表[[#This Row],[CPM]]-B40)/B40</f>
        <v>1.1830415349623738E-2</v>
      </c>
    </row>
    <row r="40" spans="1:5" ht="19.5" thickBot="1" x14ac:dyDescent="0.5">
      <c r="A40" s="222">
        <v>21</v>
      </c>
      <c r="B40" s="221">
        <v>0.61215728999999997</v>
      </c>
      <c r="C40" s="218">
        <v>2500</v>
      </c>
      <c r="D40" s="218">
        <v>2</v>
      </c>
      <c r="E40" s="217">
        <f>(CPM表[[#This Row],[CPM]]-B41)/B41</f>
        <v>1.2133346103218156E-2</v>
      </c>
    </row>
    <row r="41" spans="1:5" ht="19.5" thickBot="1" x14ac:dyDescent="0.5">
      <c r="A41" s="222">
        <v>20.5</v>
      </c>
      <c r="B41" s="221">
        <v>0.60481881400000004</v>
      </c>
      <c r="C41" s="218">
        <v>2500</v>
      </c>
      <c r="D41" s="218">
        <v>2</v>
      </c>
      <c r="E41" s="217">
        <f>(CPM表[[#This Row],[CPM]]-B42)/B42</f>
        <v>1.2418486568153985E-2</v>
      </c>
    </row>
    <row r="42" spans="1:5" ht="19.5" thickBot="1" x14ac:dyDescent="0.5">
      <c r="A42" s="222">
        <v>20</v>
      </c>
      <c r="B42" s="221">
        <v>0.59740000999999998</v>
      </c>
      <c r="C42" s="218">
        <v>2500</v>
      </c>
      <c r="D42" s="218">
        <v>2</v>
      </c>
      <c r="E42" s="217">
        <f>(CPM表[[#This Row],[CPM]]-B43)/B43</f>
        <v>1.2734780258263871E-2</v>
      </c>
    </row>
    <row r="43" spans="1:5" ht="19.5" thickBot="1" x14ac:dyDescent="0.5">
      <c r="A43" s="222">
        <v>19.5</v>
      </c>
      <c r="B43" s="221">
        <v>0.58988791699999998</v>
      </c>
      <c r="C43" s="218">
        <v>2500</v>
      </c>
      <c r="D43" s="218">
        <v>2</v>
      </c>
      <c r="E43" s="217">
        <f>(CPM表[[#This Row],[CPM]]-B44)/B44</f>
        <v>1.3067632829085294E-2</v>
      </c>
    </row>
    <row r="44" spans="1:5" ht="19.5" thickBot="1" x14ac:dyDescent="0.5">
      <c r="A44" s="222">
        <v>19</v>
      </c>
      <c r="B44" s="221">
        <v>0.58227890999999998</v>
      </c>
      <c r="C44" s="218">
        <v>2200</v>
      </c>
      <c r="D44" s="218">
        <v>2</v>
      </c>
      <c r="E44" s="217">
        <f>(CPM表[[#This Row],[CPM]]-B45)/B45</f>
        <v>1.3418327384519342E-2</v>
      </c>
    </row>
    <row r="45" spans="1:5" ht="19.5" thickBot="1" x14ac:dyDescent="0.5">
      <c r="A45" s="222">
        <v>18.5</v>
      </c>
      <c r="B45" s="221">
        <v>0.574569153</v>
      </c>
      <c r="C45" s="218">
        <v>2200</v>
      </c>
      <c r="D45" s="218">
        <v>2</v>
      </c>
      <c r="E45" s="217">
        <f>(CPM表[[#This Row],[CPM]]-B46)/B46</f>
        <v>1.3788391136254121E-2</v>
      </c>
    </row>
    <row r="46" spans="1:5" ht="19.5" thickBot="1" x14ac:dyDescent="0.5">
      <c r="A46" s="222">
        <v>18</v>
      </c>
      <c r="B46" s="221">
        <v>0.56675452000000004</v>
      </c>
      <c r="C46" s="218">
        <v>2200</v>
      </c>
      <c r="D46" s="218">
        <v>2</v>
      </c>
      <c r="E46" s="217">
        <f>(CPM表[[#This Row],[CPM]]-B47)/B47</f>
        <v>1.4179510464008813E-2</v>
      </c>
    </row>
    <row r="47" spans="1:5" ht="19.5" thickBot="1" x14ac:dyDescent="0.5">
      <c r="A47" s="222">
        <v>17.5</v>
      </c>
      <c r="B47" s="221">
        <v>0.55883057599999997</v>
      </c>
      <c r="C47" s="218">
        <v>2200</v>
      </c>
      <c r="D47" s="218">
        <v>2</v>
      </c>
      <c r="E47" s="217">
        <f>(CPM表[[#This Row],[CPM]]-B48)/B48</f>
        <v>1.4593305513913038E-2</v>
      </c>
    </row>
    <row r="48" spans="1:5" ht="19.5" thickBot="1" x14ac:dyDescent="0.5">
      <c r="A48" s="222">
        <v>17</v>
      </c>
      <c r="B48" s="221">
        <v>0.55079268999999997</v>
      </c>
      <c r="C48" s="218">
        <v>1900</v>
      </c>
      <c r="D48" s="218">
        <v>2</v>
      </c>
      <c r="E48" s="217">
        <f>(CPM表[[#This Row],[CPM]]-B49)/B49</f>
        <v>1.5032040820117791E-2</v>
      </c>
    </row>
    <row r="49" spans="1:5" ht="19.5" thickBot="1" x14ac:dyDescent="0.5">
      <c r="A49" s="222">
        <v>16.5</v>
      </c>
      <c r="B49" s="221">
        <v>0.54263576700000005</v>
      </c>
      <c r="C49" s="218">
        <v>1900</v>
      </c>
      <c r="D49" s="218">
        <v>2</v>
      </c>
      <c r="E49" s="217">
        <f>(CPM表[[#This Row],[CPM]]-B50)/B50</f>
        <v>1.5498025439412193E-2</v>
      </c>
    </row>
    <row r="50" spans="1:5" ht="19.5" thickBot="1" x14ac:dyDescent="0.5">
      <c r="A50" s="222">
        <v>16</v>
      </c>
      <c r="B50" s="221">
        <v>0.53435432999999999</v>
      </c>
      <c r="C50" s="218">
        <v>1900</v>
      </c>
      <c r="D50" s="218">
        <v>2</v>
      </c>
      <c r="E50" s="217">
        <f>(CPM表[[#This Row],[CPM]]-B51)/B51</f>
        <v>1.5993799367931275E-2</v>
      </c>
    </row>
    <row r="51" spans="1:5" ht="19.5" thickBot="1" x14ac:dyDescent="0.5">
      <c r="A51" s="222">
        <v>15.5</v>
      </c>
      <c r="B51" s="221">
        <v>0.525942511</v>
      </c>
      <c r="C51" s="218">
        <v>1900</v>
      </c>
      <c r="D51" s="218">
        <v>2</v>
      </c>
      <c r="E51" s="217">
        <f>(CPM表[[#This Row],[CPM]]-B52)/B52</f>
        <v>1.6522344337424142E-2</v>
      </c>
    </row>
    <row r="52" spans="1:5" ht="19.5" thickBot="1" x14ac:dyDescent="0.5">
      <c r="A52" s="222">
        <v>15</v>
      </c>
      <c r="B52" s="221">
        <v>0.51739394999999999</v>
      </c>
      <c r="C52" s="218">
        <v>1600</v>
      </c>
      <c r="D52" s="218">
        <v>2</v>
      </c>
      <c r="E52" s="217">
        <f>(CPM表[[#This Row],[CPM]]-B53)/B53</f>
        <v>1.7086995953316614E-2</v>
      </c>
    </row>
    <row r="53" spans="1:5" ht="19.5" thickBot="1" x14ac:dyDescent="0.5">
      <c r="A53" s="222">
        <v>14.5</v>
      </c>
      <c r="B53" s="221">
        <v>0.50870176499999997</v>
      </c>
      <c r="C53" s="218">
        <v>1600</v>
      </c>
      <c r="D53" s="218">
        <v>2</v>
      </c>
      <c r="E53" s="217">
        <f>(CPM表[[#This Row],[CPM]]-B54)/B54</f>
        <v>1.7691658862457053E-2</v>
      </c>
    </row>
    <row r="54" spans="1:5" ht="19.5" thickBot="1" x14ac:dyDescent="0.5">
      <c r="A54" s="222">
        <v>14</v>
      </c>
      <c r="B54" s="221">
        <v>0.49985844000000001</v>
      </c>
      <c r="C54" s="218">
        <v>1600</v>
      </c>
      <c r="D54" s="218">
        <v>2</v>
      </c>
      <c r="E54" s="217">
        <f>(CPM表[[#This Row],[CPM]]-B55)/B55</f>
        <v>1.8340702096216459E-2</v>
      </c>
    </row>
    <row r="55" spans="1:5" ht="19.5" thickBot="1" x14ac:dyDescent="0.5">
      <c r="A55" s="222">
        <v>13.5</v>
      </c>
      <c r="B55" s="221">
        <v>0.49085580000000001</v>
      </c>
      <c r="C55" s="218">
        <v>1600</v>
      </c>
      <c r="D55" s="218">
        <v>2</v>
      </c>
      <c r="E55" s="217">
        <f>(CPM表[[#This Row],[CPM]]-B56)/B56</f>
        <v>1.9039104294207257E-2</v>
      </c>
    </row>
    <row r="56" spans="1:5" ht="19.5" thickBot="1" x14ac:dyDescent="0.5">
      <c r="A56" s="222">
        <v>13</v>
      </c>
      <c r="B56" s="221">
        <v>0.48168495</v>
      </c>
      <c r="C56" s="218">
        <v>1300</v>
      </c>
      <c r="D56" s="218">
        <v>2</v>
      </c>
      <c r="E56" s="217">
        <f>(CPM表[[#This Row],[CPM]]-B57)/B57</f>
        <v>1.9792828319660647E-2</v>
      </c>
    </row>
    <row r="57" spans="1:5" ht="19.5" thickBot="1" x14ac:dyDescent="0.5">
      <c r="A57" s="222">
        <v>12.5</v>
      </c>
      <c r="B57" s="221">
        <v>0.47233608300000002</v>
      </c>
      <c r="C57" s="218">
        <v>1300</v>
      </c>
      <c r="D57" s="218">
        <v>2</v>
      </c>
      <c r="E57" s="217">
        <f>(CPM表[[#This Row],[CPM]]-B58)/B58</f>
        <v>2.0608742826438989E-2</v>
      </c>
    </row>
    <row r="58" spans="1:5" ht="19.5" thickBot="1" x14ac:dyDescent="0.5">
      <c r="A58" s="222">
        <v>12</v>
      </c>
      <c r="B58" s="221">
        <v>0.46279839</v>
      </c>
      <c r="C58" s="218">
        <v>1300</v>
      </c>
      <c r="D58" s="218">
        <v>2</v>
      </c>
      <c r="E58" s="217">
        <f>(CPM表[[#This Row],[CPM]]-B59)/B59</f>
        <v>2.1494797834901443E-2</v>
      </c>
    </row>
    <row r="59" spans="1:5" ht="19.5" thickBot="1" x14ac:dyDescent="0.5">
      <c r="A59" s="222">
        <v>11.5</v>
      </c>
      <c r="B59" s="221">
        <v>0.45305995780000002</v>
      </c>
      <c r="C59" s="218">
        <v>1300</v>
      </c>
      <c r="D59" s="218">
        <v>2</v>
      </c>
      <c r="E59" s="217">
        <f>(CPM表[[#This Row],[CPM]]-B60)/B60</f>
        <v>2.2460478951441938E-2</v>
      </c>
    </row>
    <row r="60" spans="1:5" ht="19.5" thickBot="1" x14ac:dyDescent="0.5">
      <c r="A60" s="222">
        <v>11</v>
      </c>
      <c r="B60" s="221">
        <v>0.44310755000000002</v>
      </c>
      <c r="C60" s="218">
        <v>1000</v>
      </c>
      <c r="D60" s="218">
        <v>1</v>
      </c>
      <c r="E60" s="217">
        <f>(CPM表[[#This Row],[CPM]]-B61)/B61</f>
        <v>2.3517000934054823E-2</v>
      </c>
    </row>
    <row r="61" spans="1:5" ht="19.5" thickBot="1" x14ac:dyDescent="0.5">
      <c r="A61" s="222">
        <v>10.5</v>
      </c>
      <c r="B61" s="221">
        <v>0.43292641900000001</v>
      </c>
      <c r="C61" s="218">
        <v>1000</v>
      </c>
      <c r="D61" s="218">
        <v>1</v>
      </c>
      <c r="E61" s="217">
        <f>(CPM表[[#This Row],[CPM]]-B62)/B62</f>
        <v>2.4677890540168331E-2</v>
      </c>
    </row>
    <row r="62" spans="1:5" ht="19.5" thickBot="1" x14ac:dyDescent="0.5">
      <c r="A62" s="222">
        <v>10</v>
      </c>
      <c r="B62" s="221">
        <v>0.42250000999999998</v>
      </c>
      <c r="C62" s="218">
        <v>1000</v>
      </c>
      <c r="D62" s="218">
        <v>1</v>
      </c>
      <c r="E62" s="217">
        <f>(CPM表[[#This Row],[CPM]]-B63)/B63</f>
        <v>2.7496683672453781E-2</v>
      </c>
    </row>
    <row r="63" spans="1:5" ht="19.5" thickBot="1" x14ac:dyDescent="0.5">
      <c r="A63" s="222">
        <v>9.5</v>
      </c>
      <c r="B63" s="221">
        <v>0.41119355099999999</v>
      </c>
      <c r="C63" s="218">
        <v>1000</v>
      </c>
      <c r="D63" s="218">
        <v>1</v>
      </c>
      <c r="E63" s="217">
        <f>(CPM表[[#This Row],[CPM]]-B64)/B64</f>
        <v>2.9097154802064786E-2</v>
      </c>
    </row>
    <row r="64" spans="1:5" ht="19.5" thickBot="1" x14ac:dyDescent="0.5">
      <c r="A64" s="222">
        <v>9</v>
      </c>
      <c r="B64" s="221">
        <v>0.39956728000000002</v>
      </c>
      <c r="C64" s="218">
        <v>800</v>
      </c>
      <c r="D64" s="218">
        <v>1</v>
      </c>
      <c r="E64" s="217">
        <f>(CPM表[[#This Row],[CPM]]-B65)/B65</f>
        <v>3.0895533077085171E-2</v>
      </c>
    </row>
    <row r="65" spans="1:5" ht="19.5" thickBot="1" x14ac:dyDescent="0.5">
      <c r="A65" s="222">
        <v>8.5</v>
      </c>
      <c r="B65" s="221">
        <v>0.387592406</v>
      </c>
      <c r="C65" s="218">
        <v>800</v>
      </c>
      <c r="D65" s="218">
        <v>1</v>
      </c>
      <c r="E65" s="217">
        <f>(CPM表[[#This Row],[CPM]]-B66)/B66</f>
        <v>3.2930820874427162E-2</v>
      </c>
    </row>
    <row r="66" spans="1:5" ht="19.5" thickBot="1" x14ac:dyDescent="0.5">
      <c r="A66" s="222">
        <v>8</v>
      </c>
      <c r="B66" s="221">
        <v>0.37523559000000001</v>
      </c>
      <c r="C66" s="218">
        <v>800</v>
      </c>
      <c r="D66" s="218">
        <v>1</v>
      </c>
      <c r="E66" s="217">
        <f>(CPM表[[#This Row],[CPM]]-B67)/B67</f>
        <v>3.5253319772433324E-2</v>
      </c>
    </row>
    <row r="67" spans="1:5" ht="19.5" thickBot="1" x14ac:dyDescent="0.5">
      <c r="A67" s="222">
        <v>7.5</v>
      </c>
      <c r="B67" s="221">
        <v>0.36245775099999999</v>
      </c>
      <c r="C67" s="218">
        <v>800</v>
      </c>
      <c r="D67" s="218">
        <v>1</v>
      </c>
      <c r="E67" s="217">
        <f>(CPM表[[#This Row],[CPM]]-B68)/B68</f>
        <v>3.7928379347508222E-2</v>
      </c>
    </row>
    <row r="68" spans="1:5" ht="19.5" thickBot="1" x14ac:dyDescent="0.5">
      <c r="A68" s="222">
        <v>7</v>
      </c>
      <c r="B68" s="221">
        <v>0.34921268</v>
      </c>
      <c r="C68" s="218">
        <v>600</v>
      </c>
      <c r="D68" s="218">
        <v>1</v>
      </c>
      <c r="E68" s="217">
        <f>(CPM表[[#This Row],[CPM]]-B69)/B69</f>
        <v>4.1042920664952166E-2</v>
      </c>
    </row>
    <row r="69" spans="1:5" ht="19.5" thickBot="1" x14ac:dyDescent="0.5">
      <c r="A69" s="222">
        <v>6.5</v>
      </c>
      <c r="B69" s="221">
        <v>0.33544503599999997</v>
      </c>
      <c r="C69" s="218">
        <v>600</v>
      </c>
      <c r="D69" s="218">
        <v>1</v>
      </c>
      <c r="E69" s="217">
        <f>(CPM表[[#This Row],[CPM]]-B70)/B70</f>
        <v>4.4715012351769431E-2</v>
      </c>
    </row>
    <row r="70" spans="1:5" ht="19.5" thickBot="1" x14ac:dyDescent="0.5">
      <c r="A70" s="222">
        <v>6</v>
      </c>
      <c r="B70" s="221">
        <v>0.32108759999999997</v>
      </c>
      <c r="C70" s="218">
        <v>600</v>
      </c>
      <c r="D70" s="218">
        <v>1</v>
      </c>
      <c r="E70" s="217">
        <f>(CPM表[[#This Row],[CPM]]-B71)/B71</f>
        <v>4.9109167527107027E-2</v>
      </c>
    </row>
    <row r="71" spans="1:5" ht="19.5" thickBot="1" x14ac:dyDescent="0.5">
      <c r="A71" s="222">
        <v>5.5</v>
      </c>
      <c r="B71" s="221">
        <v>0.30605737700000002</v>
      </c>
      <c r="C71" s="218">
        <v>600</v>
      </c>
      <c r="D71" s="218">
        <v>1</v>
      </c>
      <c r="E71" s="217">
        <f>(CPM表[[#This Row],[CPM]]-B72)/B72</f>
        <v>5.4461683153839729E-2</v>
      </c>
    </row>
    <row r="72" spans="1:5" ht="19.5" thickBot="1" x14ac:dyDescent="0.5">
      <c r="A72" s="222">
        <v>5</v>
      </c>
      <c r="B72" s="221">
        <v>0.29024988000000002</v>
      </c>
      <c r="C72" s="218">
        <v>400</v>
      </c>
      <c r="D72" s="218">
        <v>1</v>
      </c>
      <c r="E72" s="217">
        <f>(CPM表[[#This Row],[CPM]]-B73)/B73</f>
        <v>6.1124833515294331E-2</v>
      </c>
    </row>
    <row r="73" spans="1:5" ht="19.5" thickBot="1" x14ac:dyDescent="0.5">
      <c r="A73" s="222">
        <v>4.5</v>
      </c>
      <c r="B73" s="221">
        <v>0.27353038099999999</v>
      </c>
      <c r="C73" s="218">
        <v>400</v>
      </c>
      <c r="D73" s="218">
        <v>1</v>
      </c>
      <c r="E73" s="217">
        <f>(CPM表[[#This Row],[CPM]]-B74)/B74</f>
        <v>6.964776911313765E-2</v>
      </c>
    </row>
    <row r="74" spans="1:5" ht="19.5" thickBot="1" x14ac:dyDescent="0.5">
      <c r="A74" s="222">
        <v>4</v>
      </c>
      <c r="B74" s="221">
        <v>0.25572004999999998</v>
      </c>
      <c r="C74" s="218">
        <v>400</v>
      </c>
      <c r="D74" s="218">
        <v>1</v>
      </c>
      <c r="E74" s="217">
        <f>(CPM表[[#This Row],[CPM]]-B75)/B75</f>
        <v>8.093660915451252E-2</v>
      </c>
    </row>
    <row r="75" spans="1:5" ht="19.5" thickBot="1" x14ac:dyDescent="0.5">
      <c r="A75" s="222">
        <v>3.5</v>
      </c>
      <c r="B75" s="221">
        <v>0.23657266099999999</v>
      </c>
      <c r="C75" s="218">
        <v>400</v>
      </c>
      <c r="D75" s="218">
        <v>1</v>
      </c>
      <c r="E75" s="217">
        <f>(CPM表[[#This Row],[CPM]]-B76)/B76</f>
        <v>9.6602013595820685E-2</v>
      </c>
    </row>
    <row r="76" spans="1:5" ht="19.5" thickBot="1" x14ac:dyDescent="0.5">
      <c r="A76" s="222">
        <v>3</v>
      </c>
      <c r="B76" s="221">
        <v>0.21573247000000001</v>
      </c>
      <c r="C76" s="218">
        <v>200</v>
      </c>
      <c r="D76" s="218">
        <v>1</v>
      </c>
      <c r="E76" s="217">
        <f>(CPM表[[#This Row],[CPM]]-B77)/B77</f>
        <v>0.11981023044068638</v>
      </c>
    </row>
    <row r="77" spans="1:5" ht="19.5" thickBot="1" x14ac:dyDescent="0.5">
      <c r="A77" s="222">
        <v>2.5</v>
      </c>
      <c r="B77" s="221">
        <v>0.192650919</v>
      </c>
      <c r="C77" s="218">
        <v>200</v>
      </c>
      <c r="D77" s="218">
        <v>1</v>
      </c>
      <c r="E77" s="217">
        <f>(CPM表[[#This Row],[CPM]]-B78)/B78</f>
        <v>0.15777274673047198</v>
      </c>
    </row>
    <row r="78" spans="1:5" ht="19.5" thickBot="1" x14ac:dyDescent="0.5">
      <c r="A78" s="222">
        <v>2</v>
      </c>
      <c r="B78" s="221">
        <v>0.16639787</v>
      </c>
      <c r="C78" s="218">
        <v>200</v>
      </c>
      <c r="D78" s="218">
        <v>1</v>
      </c>
      <c r="E78" s="217">
        <f>(CPM表[[#This Row],[CPM]]-B79)/B79</f>
        <v>0.23132330944397406</v>
      </c>
    </row>
    <row r="79" spans="1:5" ht="19.5" thickBot="1" x14ac:dyDescent="0.5">
      <c r="A79" s="222">
        <v>1.5</v>
      </c>
      <c r="B79" s="221">
        <v>0.135137432</v>
      </c>
      <c r="C79" s="218">
        <v>200</v>
      </c>
      <c r="D79" s="218">
        <v>1</v>
      </c>
      <c r="E79" s="217">
        <f>(CPM表[[#This Row],[CPM]]-B80)/B80</f>
        <v>0.43763225531914896</v>
      </c>
    </row>
    <row r="80" spans="1:5" x14ac:dyDescent="0.45">
      <c r="A80" s="220">
        <v>1</v>
      </c>
      <c r="B80" s="219">
        <v>9.4E-2</v>
      </c>
      <c r="C80" s="218">
        <v>0</v>
      </c>
      <c r="D80" s="218">
        <v>0</v>
      </c>
      <c r="E80" s="217"/>
    </row>
  </sheetData>
  <phoneticPr fontId="3"/>
  <pageMargins left="0.7" right="0.7" top="0.75" bottom="0.75" header="0.3" footer="0.3"/>
  <pageSetup paperSize="9" orientation="portrait" horizontalDpi="1200" verticalDpi="1200" r:id="rId1"/>
  <ignoredErrors>
    <ignoredError sqref="E2 E3:E79" calculatedColumn="1"/>
  </ignoredErrors>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5"/>
  <sheetViews>
    <sheetView zoomScale="80" zoomScaleNormal="80" workbookViewId="0"/>
  </sheetViews>
  <sheetFormatPr defaultRowHeight="16.5" x14ac:dyDescent="0.45"/>
  <cols>
    <col min="1" max="16384" width="8.88671875" style="10"/>
  </cols>
  <sheetData>
    <row r="1" spans="1:20" ht="18.75" x14ac:dyDescent="0.45">
      <c r="A1" s="223" t="s">
        <v>1611</v>
      </c>
      <c r="B1" s="403" t="s">
        <v>1610</v>
      </c>
      <c r="C1" s="404" t="s">
        <v>335</v>
      </c>
      <c r="D1" s="404" t="s">
        <v>1609</v>
      </c>
      <c r="E1" s="404" t="s">
        <v>334</v>
      </c>
      <c r="F1" s="223"/>
      <c r="G1" s="228" t="s">
        <v>318</v>
      </c>
      <c r="H1" s="223"/>
      <c r="I1" s="223"/>
      <c r="J1" s="223"/>
      <c r="K1" s="223"/>
      <c r="L1" s="223"/>
    </row>
    <row r="2" spans="1:20" x14ac:dyDescent="0.45">
      <c r="A2" s="402" t="s">
        <v>2839</v>
      </c>
      <c r="B2" s="244">
        <f>MAX(種族元表[CP])</f>
        <v>4431</v>
      </c>
      <c r="C2" s="244">
        <f>MAX(種族元表[ATK])</f>
        <v>414</v>
      </c>
      <c r="D2" s="244">
        <f>MAX(種族元表[DEF])</f>
        <v>396</v>
      </c>
      <c r="E2" s="244">
        <f>MAX(種族元表[HP])</f>
        <v>496</v>
      </c>
      <c r="G2" s="227">
        <v>40</v>
      </c>
    </row>
    <row r="3" spans="1:20" x14ac:dyDescent="0.45">
      <c r="A3" s="402" t="s">
        <v>2840</v>
      </c>
      <c r="B3" s="244">
        <f>AVERAGE(種族元表[CP])</f>
        <v>1882.4491114701132</v>
      </c>
      <c r="C3" s="244">
        <f>AVERAGE(種族元表[ATK])</f>
        <v>159.00161550888529</v>
      </c>
      <c r="D3" s="244">
        <f>AVERAGE(種族元表[DEF])</f>
        <v>140.43780290791599</v>
      </c>
      <c r="E3" s="244">
        <f>AVERAGE(種族元表[HP])</f>
        <v>167.43941841680129</v>
      </c>
      <c r="G3" s="393"/>
    </row>
    <row r="5" spans="1:20" ht="18.75" x14ac:dyDescent="0.45">
      <c r="A5" s="87" t="s">
        <v>321</v>
      </c>
      <c r="B5" s="394" t="s">
        <v>2815</v>
      </c>
      <c r="C5" s="394" t="s">
        <v>2836</v>
      </c>
      <c r="D5" s="394" t="s">
        <v>2821</v>
      </c>
      <c r="E5" s="394" t="s">
        <v>1561</v>
      </c>
      <c r="F5" s="394" t="s">
        <v>1608</v>
      </c>
      <c r="G5" s="394" t="s">
        <v>2831</v>
      </c>
      <c r="H5" s="394" t="s">
        <v>2816</v>
      </c>
      <c r="I5" s="394" t="s">
        <v>2837</v>
      </c>
      <c r="J5" s="394" t="s">
        <v>2838</v>
      </c>
      <c r="K5" s="394" t="s">
        <v>1560</v>
      </c>
      <c r="L5" s="394" t="s">
        <v>1559</v>
      </c>
    </row>
    <row r="6" spans="1:20" x14ac:dyDescent="0.45">
      <c r="A6" s="402" t="s">
        <v>2839</v>
      </c>
      <c r="B6" s="395">
        <f>MAX(通常わざ表[威力_g])</f>
        <v>20</v>
      </c>
      <c r="C6" s="395">
        <f>MAX(通常わざ表[チャージ_g])</f>
        <v>21</v>
      </c>
      <c r="D6" s="395">
        <f>MAX(通常わざ表[時間_it])</f>
        <v>2.23</v>
      </c>
      <c r="E6" s="395">
        <f>MAX(通常わざ表[DPS])</f>
        <v>13.75</v>
      </c>
      <c r="F6" s="395">
        <f>MAX(通常わざ表[EPS])</f>
        <v>20</v>
      </c>
      <c r="G6" s="395">
        <f>MAX(通常わざ表[時間_dd])</f>
        <v>1.5</v>
      </c>
      <c r="H6" s="395">
        <f>MAX(通常わざ表[威力_m])</f>
        <v>16</v>
      </c>
      <c r="I6" s="395">
        <f>MAX(通常わざ表[チャージ_m])</f>
        <v>16</v>
      </c>
      <c r="J6" s="395">
        <f>MAX(通常わざ表[ターン_it])</f>
        <v>4</v>
      </c>
      <c r="K6" s="395">
        <f>MAX(通常わざ表[DPT])</f>
        <v>5.5</v>
      </c>
      <c r="L6" s="395">
        <f>MAX(通常わざ表[EPT])</f>
        <v>5</v>
      </c>
    </row>
    <row r="7" spans="1:20" x14ac:dyDescent="0.45">
      <c r="A7" s="402" t="s">
        <v>2840</v>
      </c>
      <c r="B7" s="395">
        <f>AVERAGE(通常わざ表[威力_g])</f>
        <v>10.341463414634147</v>
      </c>
      <c r="C7" s="395">
        <f>AVERAGE(通常わざ表[チャージ_g])</f>
        <v>10.536585365853659</v>
      </c>
      <c r="D7" s="395">
        <f>AVERAGE(通常わざ表[時間_it])</f>
        <v>1.0714634146341464</v>
      </c>
      <c r="E7" s="395">
        <f>AVERAGE(通常わざ表[DPS])</f>
        <v>9.9130994344409018</v>
      </c>
      <c r="F7" s="395">
        <f>AVERAGE(通常わざ表[EPS])</f>
        <v>10.199804878048781</v>
      </c>
      <c r="G7" s="395">
        <f>AVERAGE(通常わざ表[時間_dd])</f>
        <v>0.67164634146341506</v>
      </c>
      <c r="H7" s="395">
        <f>AVERAGE(通常わざ表[威力_m])</f>
        <v>6.6585365853658534</v>
      </c>
      <c r="I7" s="395">
        <f>AVERAGE(通常わざ表[チャージ_m])</f>
        <v>7.2804878048780486</v>
      </c>
      <c r="J7" s="395">
        <f>AVERAGE(通常わざ表[ターン_it])</f>
        <v>2.4512195121951219</v>
      </c>
      <c r="K7" s="395">
        <f>AVERAGE(通常わざ表[DPT])</f>
        <v>2.772357723577239</v>
      </c>
      <c r="L7" s="395">
        <f>AVERAGE(通常わざ表[EPT])</f>
        <v>2.9857723577235826</v>
      </c>
    </row>
    <row r="9" spans="1:20" ht="18.75" x14ac:dyDescent="0.45">
      <c r="A9" s="116" t="s">
        <v>333</v>
      </c>
      <c r="B9" s="396" t="s">
        <v>2815</v>
      </c>
      <c r="C9" s="396" t="s">
        <v>2821</v>
      </c>
      <c r="D9" s="396" t="s">
        <v>1561</v>
      </c>
      <c r="E9" s="396" t="s">
        <v>2834</v>
      </c>
      <c r="F9" s="396" t="s">
        <v>2831</v>
      </c>
      <c r="G9" s="396" t="s">
        <v>2816</v>
      </c>
      <c r="H9" s="396" t="s">
        <v>2835</v>
      </c>
      <c r="I9" s="396" t="s">
        <v>1572</v>
      </c>
    </row>
    <row r="10" spans="1:20" x14ac:dyDescent="0.45">
      <c r="A10" s="402" t="s">
        <v>2839</v>
      </c>
      <c r="B10" s="397">
        <f>MAX(ゲージわざ表[威力_g])</f>
        <v>200</v>
      </c>
      <c r="C10" s="397">
        <f>MAX(ゲージわざ表[時間_it])</f>
        <v>4.9000000000000004</v>
      </c>
      <c r="D10" s="397">
        <f>MAX(ゲージわざ表[DPS])</f>
        <v>76.470588235294002</v>
      </c>
      <c r="E10" s="397">
        <f>MAX(ゲージわざ表[数_gage])</f>
        <v>3</v>
      </c>
      <c r="F10" s="397">
        <f>MAX(ゲージわざ表[時間_dd])</f>
        <v>3.5</v>
      </c>
      <c r="G10" s="397">
        <f>MAX(ゲージわざ表[威力_m])</f>
        <v>150</v>
      </c>
      <c r="H10" s="397">
        <f>MAX(ゲージわざ表[量_gage])</f>
        <v>100</v>
      </c>
      <c r="I10" s="397">
        <f>MAX(ゲージわざ表[DPE])</f>
        <v>2.3636363636364002</v>
      </c>
    </row>
    <row r="11" spans="1:20" x14ac:dyDescent="0.45">
      <c r="A11" s="402" t="s">
        <v>2840</v>
      </c>
      <c r="B11" s="397">
        <f>AVERAGE(ゲージわざ表[威力_g])</f>
        <v>77.167832167832174</v>
      </c>
      <c r="C11" s="397">
        <f>AVERAGE(ゲージわざ表[時間_it])</f>
        <v>2.6258741258741258</v>
      </c>
      <c r="D11" s="397">
        <f>AVERAGE(ゲージわざ表[DPS])</f>
        <v>29.891703751069816</v>
      </c>
      <c r="E11" s="397">
        <f>AVERAGE(ゲージわざ表[数_gage])</f>
        <v>2.1971830985915495</v>
      </c>
      <c r="F11" s="397">
        <f>AVERAGE(ゲージわざ表[時間_dd])</f>
        <v>1.6818181818181812</v>
      </c>
      <c r="G11" s="397">
        <f>AVERAGE(ゲージわざ表[威力_m])</f>
        <v>76.223776223776227</v>
      </c>
      <c r="H11" s="397">
        <f>AVERAGE(ゲージわざ表[量_gage])</f>
        <v>51.083916083916087</v>
      </c>
      <c r="I11" s="397">
        <f>AVERAGE(ゲージわざ表[DPE])</f>
        <v>1.480475041390531</v>
      </c>
    </row>
    <row r="13" spans="1:20" x14ac:dyDescent="0.45">
      <c r="B13" s="398"/>
      <c r="C13" s="398"/>
      <c r="D13" s="398"/>
      <c r="E13" s="398"/>
      <c r="F13" s="398"/>
      <c r="G13" s="398"/>
      <c r="H13" s="398"/>
      <c r="I13" s="398" t="s">
        <v>2577</v>
      </c>
      <c r="J13" s="398"/>
      <c r="K13" s="398"/>
      <c r="L13" s="398" t="s">
        <v>2578</v>
      </c>
      <c r="M13" s="398"/>
      <c r="N13" s="398"/>
      <c r="O13" s="398" t="s">
        <v>2579</v>
      </c>
      <c r="P13" s="398"/>
      <c r="Q13" s="398"/>
      <c r="R13" s="398" t="s">
        <v>2580</v>
      </c>
      <c r="S13" s="398"/>
      <c r="T13" s="398"/>
    </row>
    <row r="14" spans="1:20" ht="18.75" x14ac:dyDescent="0.45">
      <c r="A14" s="10" t="s">
        <v>1607</v>
      </c>
      <c r="B14" s="399" t="s">
        <v>1546</v>
      </c>
      <c r="C14" s="399" t="s">
        <v>1545</v>
      </c>
      <c r="D14" s="399" t="s">
        <v>1477</v>
      </c>
      <c r="E14" s="399" t="s">
        <v>1478</v>
      </c>
      <c r="F14" s="399" t="s">
        <v>1544</v>
      </c>
      <c r="G14" s="399" t="s">
        <v>1543</v>
      </c>
      <c r="H14" s="399" t="s">
        <v>1542</v>
      </c>
      <c r="I14" s="399" t="s">
        <v>2556</v>
      </c>
      <c r="J14" s="399" t="s">
        <v>2557</v>
      </c>
      <c r="K14" s="399" t="s">
        <v>2558</v>
      </c>
      <c r="L14" s="399" t="s">
        <v>2559</v>
      </c>
      <c r="M14" s="399" t="s">
        <v>2560</v>
      </c>
      <c r="N14" s="399" t="s">
        <v>2561</v>
      </c>
      <c r="O14" s="399" t="s">
        <v>2562</v>
      </c>
      <c r="P14" s="399" t="s">
        <v>2563</v>
      </c>
      <c r="Q14" s="399" t="s">
        <v>2564</v>
      </c>
      <c r="R14" s="399" t="s">
        <v>2565</v>
      </c>
      <c r="S14" s="399" t="s">
        <v>2566</v>
      </c>
      <c r="T14" s="399" t="s">
        <v>2567</v>
      </c>
    </row>
    <row r="15" spans="1:20" x14ac:dyDescent="0.45">
      <c r="A15" s="402" t="s">
        <v>2839</v>
      </c>
      <c r="B15" s="244">
        <f>MAX(種族分析1[攻撃力])</f>
        <v>339.03870429</v>
      </c>
      <c r="C15" s="244">
        <f>MAX(種族分析1[防御力])</f>
        <v>324.81330411000005</v>
      </c>
      <c r="D15" s="244">
        <f>MAX(種族分析1[HP])</f>
        <v>403.84330511000002</v>
      </c>
      <c r="E15" s="244">
        <f>MAX(種族分析1[CP])</f>
        <v>4431.5810419195859</v>
      </c>
      <c r="F15" s="244">
        <f>MAX(種族分析1[SCP])</f>
        <v>4113.1553364195261</v>
      </c>
      <c r="G15" s="244">
        <f>MAX(種族分析1[DCP])</f>
        <v>4473.7118154731361</v>
      </c>
      <c r="H15" s="244">
        <f>MAX(種族分析1[耐久力])</f>
        <v>51.269579476479208</v>
      </c>
      <c r="I15" s="244">
        <f>MAX(種族分析1[ダメージ_gnD])</f>
        <v>30.873340377999998</v>
      </c>
      <c r="J15" s="244">
        <f>MAX(種族分析1[tDPS_gnDps])</f>
        <v>23.100715189890906</v>
      </c>
      <c r="K15" s="244">
        <f>MAX(種族分析1[EPS_gnEps])</f>
        <v>20</v>
      </c>
      <c r="L15" s="244">
        <f>MAX(種族分析1[ダメージ_gsD])</f>
        <v>287.40472362399998</v>
      </c>
      <c r="M15" s="244">
        <f>MAX(種族分析1[tDPS_gsDps])</f>
        <v>67.576682265571435</v>
      </c>
      <c r="N15" s="244">
        <f>MAX(種族分析1[cDPS_gCdps1])</f>
        <v>33.498976876993197</v>
      </c>
      <c r="O15" s="244">
        <f>MAX(種族分析1[ダメージ_mnD])</f>
        <v>32.068273993120002</v>
      </c>
      <c r="P15" s="244">
        <f>MAX(種族分析1[tDPT_mnDps])</f>
        <v>9.2471985706820004</v>
      </c>
      <c r="Q15" s="244">
        <f>MAX(種族分析1[EPT_mnEps])</f>
        <v>5</v>
      </c>
      <c r="R15" s="244">
        <f>MAX(種族分析1[ダメージ_msD])</f>
        <v>331.56273668275003</v>
      </c>
      <c r="S15" s="244">
        <f>MAX(種族分析1[tDPE_msDps])</f>
        <v>5.3175752154954283</v>
      </c>
      <c r="T15" s="244">
        <f>MAX(種族分析1[cDPT_mCdps1])</f>
        <v>23.384334534444545</v>
      </c>
    </row>
    <row r="16" spans="1:20" x14ac:dyDescent="0.45">
      <c r="A16" s="402" t="s">
        <v>2840</v>
      </c>
      <c r="B16" s="244">
        <f>AVERAGE(種族分析1[攻撃力])</f>
        <v>137.49795042834421</v>
      </c>
      <c r="C16" s="244">
        <f>AVERAGE(種族分析1[防御力])</f>
        <v>123.01861778611466</v>
      </c>
      <c r="D16" s="244">
        <f>AVERAGE(種族分析1[HP])</f>
        <v>144.13128821719667</v>
      </c>
      <c r="E16" s="244">
        <f>AVERAGE(種族分析1[CP])</f>
        <v>1884.1100673749706</v>
      </c>
      <c r="F16" s="244">
        <f>AVERAGE(種族分析1[SCP])</f>
        <v>1847.6722115837251</v>
      </c>
      <c r="G16" s="244">
        <f>AVERAGE(種族分析1[DCP])</f>
        <v>1829.4487684421913</v>
      </c>
      <c r="H16" s="244">
        <f>AVERAGE(種族分析1[耐久力])</f>
        <v>16.014444038821548</v>
      </c>
      <c r="I16" s="244">
        <f>AVERAGE(種族分析1[ダメージ_gnD])</f>
        <v>10.716405660486751</v>
      </c>
      <c r="J16" s="244">
        <f>AVERAGE(種族分析1[tDPS_gnDps])</f>
        <v>10.465108815908129</v>
      </c>
      <c r="K16" s="244">
        <f>AVERAGE(種族分析1[EPS_gnEps])</f>
        <v>11.384766830870273</v>
      </c>
      <c r="L16" s="244">
        <f>AVERAGE(種族分析1[ダメージ_gsD])</f>
        <v>87.748880631276819</v>
      </c>
      <c r="M16" s="244">
        <f>AVERAGE(種族分析1[tDPS_gsDps])</f>
        <v>30.163319233390297</v>
      </c>
      <c r="N16" s="244">
        <f>AVERAGE(種族分析1[cDPS_gCdps1])</f>
        <v>15.603900433648354</v>
      </c>
      <c r="O16" s="244">
        <f>AVERAGE(種族分析1[ダメージ_mnD])</f>
        <v>9.5011976111758063</v>
      </c>
      <c r="P16" s="244">
        <f>AVERAGE(種族分析1[tDPT_mnDps])</f>
        <v>4.0992768493181311</v>
      </c>
      <c r="Q16" s="244">
        <f>AVERAGE(種族分析1[EPT_mnEps])</f>
        <v>3.4102353585112253</v>
      </c>
      <c r="R16" s="244">
        <f>AVERAGE(種族分析1[ダメージ_msD])</f>
        <v>114.32139633447733</v>
      </c>
      <c r="S16" s="244">
        <f>AVERAGE(種族分析1[tDPE_msDps])</f>
        <v>1.8517325073264128</v>
      </c>
      <c r="T16" s="244">
        <f>AVERAGE(種族分析1[cDPT_mCdps1])</f>
        <v>9.1936134142950845</v>
      </c>
    </row>
    <row r="18" spans="1:19" ht="18.75" x14ac:dyDescent="0.45">
      <c r="A18" s="10" t="s">
        <v>1606</v>
      </c>
      <c r="B18" s="400" t="s">
        <v>1478</v>
      </c>
      <c r="C18" s="400" t="s">
        <v>1477</v>
      </c>
      <c r="D18" s="400" t="s">
        <v>2568</v>
      </c>
      <c r="E18" s="400" t="s">
        <v>2569</v>
      </c>
      <c r="F18" s="400" t="s">
        <v>2570</v>
      </c>
      <c r="G18" s="400" t="s">
        <v>1605</v>
      </c>
      <c r="H18" s="400" t="s">
        <v>317</v>
      </c>
      <c r="I18" s="400" t="s">
        <v>316</v>
      </c>
      <c r="J18" s="400" t="s">
        <v>315</v>
      </c>
      <c r="K18" s="400" t="s">
        <v>1544</v>
      </c>
      <c r="L18" s="400" t="s">
        <v>1543</v>
      </c>
      <c r="M18" s="400" t="s">
        <v>312</v>
      </c>
      <c r="N18" s="400" t="s">
        <v>2571</v>
      </c>
      <c r="O18" s="401" t="s">
        <v>2572</v>
      </c>
      <c r="P18" s="401" t="s">
        <v>2573</v>
      </c>
      <c r="Q18" s="400" t="s">
        <v>2574</v>
      </c>
      <c r="R18" s="401" t="s">
        <v>2575</v>
      </c>
      <c r="S18" s="401" t="s">
        <v>2576</v>
      </c>
    </row>
    <row r="19" spans="1:19" x14ac:dyDescent="0.45">
      <c r="A19" s="402" t="s">
        <v>2839</v>
      </c>
      <c r="B19" s="244">
        <f>MAX(個体表[CP])</f>
        <v>0</v>
      </c>
      <c r="C19" s="244">
        <f>MAX(個体表[HP])</f>
        <v>0</v>
      </c>
      <c r="D19" s="244">
        <f>MAX(個体表[ATK_ind])</f>
        <v>0</v>
      </c>
      <c r="E19" s="244">
        <f>MAX(個体表[DEF_ind])</f>
        <v>0</v>
      </c>
      <c r="F19" s="244">
        <f>MAX(個体表[HP_ind])</f>
        <v>0</v>
      </c>
      <c r="G19" s="244">
        <f>MAX(個体表[PL])</f>
        <v>0</v>
      </c>
      <c r="H19" s="244">
        <f>MAX(個体表[攻撃力])</f>
        <v>0</v>
      </c>
      <c r="I19" s="244">
        <f>MAX(個体表[防御力])</f>
        <v>0</v>
      </c>
      <c r="J19" s="244">
        <f>MAX(個体表[HP2])</f>
        <v>0</v>
      </c>
      <c r="K19" s="244">
        <f>MAX(個体表[SCP])</f>
        <v>0</v>
      </c>
      <c r="L19" s="244">
        <f>MAX(個体表[DCP])</f>
        <v>0</v>
      </c>
      <c r="M19" s="244">
        <f>MAX(個体表[耐久力])</f>
        <v>0</v>
      </c>
      <c r="N19" s="244">
        <f>MAX(個体表[ダメージ_gn])</f>
        <v>0</v>
      </c>
      <c r="O19" s="244">
        <f>MAX(個体表[ダメージ_gs1], 個体表[ダメージ_gs2])</f>
        <v>0</v>
      </c>
      <c r="P19" s="244">
        <f>MAX(個体表[cDPS_gs1], 個体表[cDPS_gs2])</f>
        <v>0</v>
      </c>
      <c r="Q19" s="244">
        <f>MAX(個体表[ダメージ_mn])</f>
        <v>0</v>
      </c>
      <c r="R19" s="244">
        <f>MAX(個体表[ダメージ_ms1], 個体表[ダメージ_ms2])</f>
        <v>0</v>
      </c>
      <c r="S19" s="244">
        <f>MAX(個体表[cDPT_ms1], 個体表[cDPT_ms2])</f>
        <v>0</v>
      </c>
    </row>
    <row r="20" spans="1:19" x14ac:dyDescent="0.45">
      <c r="A20" s="402" t="s">
        <v>2840</v>
      </c>
      <c r="B20" s="244" t="e">
        <f>AVERAGE(個体表[CP])</f>
        <v>#DIV/0!</v>
      </c>
      <c r="C20" s="244" t="e">
        <f>AVERAGE(個体表[HP])</f>
        <v>#DIV/0!</v>
      </c>
      <c r="D20" s="244" t="e">
        <f>AVERAGE(個体表[ATK_ind])</f>
        <v>#DIV/0!</v>
      </c>
      <c r="E20" s="244" t="e">
        <f>AVERAGE(個体表[DEF_ind])</f>
        <v>#DIV/0!</v>
      </c>
      <c r="F20" s="244" t="e">
        <f>AVERAGE(個体表[HP_ind])</f>
        <v>#DIV/0!</v>
      </c>
      <c r="G20" s="244">
        <f>AVERAGE(個体表[PL])</f>
        <v>0</v>
      </c>
      <c r="H20" s="244" t="e">
        <f>AVERAGE(個体表[攻撃力])</f>
        <v>#DIV/0!</v>
      </c>
      <c r="I20" s="244" t="e">
        <f>AVERAGE(個体表[防御力])</f>
        <v>#DIV/0!</v>
      </c>
      <c r="J20" s="244" t="e">
        <f>AVERAGE(個体表[HP2])</f>
        <v>#DIV/0!</v>
      </c>
      <c r="K20" s="244" t="e">
        <f>AVERAGE(個体表[SCP])</f>
        <v>#DIV/0!</v>
      </c>
      <c r="L20" s="244" t="e">
        <f>AVERAGE(個体表[DCP])</f>
        <v>#DIV/0!</v>
      </c>
      <c r="M20" s="244" t="e">
        <f>AVERAGE(個体表[耐久力])</f>
        <v>#DIV/0!</v>
      </c>
      <c r="N20" s="244" t="e">
        <f>AVERAGE(個体表[ダメージ_gn])</f>
        <v>#DIV/0!</v>
      </c>
      <c r="O20" s="244" t="e">
        <f>AVERAGE(個体表[ダメージ_gs1], 個体表[ダメージ_gs2])</f>
        <v>#DIV/0!</v>
      </c>
      <c r="P20" s="244" t="e">
        <f>AVERAGE(個体表[cDPS_gs1], 個体表[cDPS_gs2])</f>
        <v>#DIV/0!</v>
      </c>
      <c r="Q20" s="244" t="e">
        <f>AVERAGE(個体表[ダメージ_mn])</f>
        <v>#DIV/0!</v>
      </c>
      <c r="R20" s="244" t="e">
        <f>AVERAGE(個体表[ダメージ_ms1], 個体表[ダメージ_ms2])</f>
        <v>#DIV/0!</v>
      </c>
      <c r="S20" s="244" t="e">
        <f>AVERAGE(個体表[cDPT_ms1], 個体表[cDPT_ms2])</f>
        <v>#DIV/0!</v>
      </c>
    </row>
    <row r="23" spans="1:19" x14ac:dyDescent="0.45">
      <c r="B23" s="10" t="s">
        <v>2849</v>
      </c>
    </row>
    <row r="24" spans="1:19" x14ac:dyDescent="0.45">
      <c r="B24" s="406" t="s">
        <v>2841</v>
      </c>
      <c r="C24" s="406" t="s">
        <v>2842</v>
      </c>
      <c r="D24" s="406" t="s">
        <v>2843</v>
      </c>
      <c r="E24" s="407" t="s">
        <v>2845</v>
      </c>
      <c r="F24" s="406" t="s">
        <v>2850</v>
      </c>
      <c r="G24" s="406" t="s">
        <v>2853</v>
      </c>
      <c r="H24" s="406" t="s">
        <v>2844</v>
      </c>
      <c r="I24" s="406" t="s">
        <v>2851</v>
      </c>
      <c r="J24" s="406" t="s">
        <v>2852</v>
      </c>
      <c r="K24" s="406" t="s">
        <v>2854</v>
      </c>
      <c r="L24" s="406" t="s">
        <v>2846</v>
      </c>
      <c r="M24" s="406" t="s">
        <v>2847</v>
      </c>
      <c r="N24" s="406" t="s">
        <v>2855</v>
      </c>
      <c r="O24" s="406" t="s">
        <v>2848</v>
      </c>
      <c r="P24" s="406" t="s">
        <v>2856</v>
      </c>
      <c r="Q24" s="406" t="s">
        <v>2857</v>
      </c>
    </row>
    <row r="25" spans="1:19" x14ac:dyDescent="0.45">
      <c r="B25" s="244">
        <v>200</v>
      </c>
      <c r="C25" s="244">
        <v>200</v>
      </c>
      <c r="D25" s="244">
        <v>250</v>
      </c>
      <c r="E25" s="405"/>
      <c r="F25" s="244">
        <v>10</v>
      </c>
      <c r="G25" s="244">
        <v>11</v>
      </c>
      <c r="H25" s="244">
        <v>1.1000000000000001</v>
      </c>
      <c r="I25" s="244">
        <v>7</v>
      </c>
      <c r="J25" s="244">
        <v>7</v>
      </c>
      <c r="K25" s="244">
        <v>2.5</v>
      </c>
      <c r="L25" s="244"/>
      <c r="M25" s="244">
        <v>77</v>
      </c>
      <c r="N25" s="244">
        <v>2</v>
      </c>
      <c r="O25" s="244">
        <v>2.6</v>
      </c>
      <c r="P25" s="244">
        <v>77</v>
      </c>
      <c r="Q25" s="244">
        <v>51</v>
      </c>
    </row>
  </sheetData>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E107"/>
  <sheetViews>
    <sheetView zoomScale="80" zoomScaleNormal="8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2" customWidth="1"/>
    <col min="9" max="16384" width="8.88671875" style="1"/>
  </cols>
  <sheetData>
    <row r="1" spans="1:31" x14ac:dyDescent="0.45">
      <c r="A1" s="82" t="s">
        <v>1801</v>
      </c>
      <c r="B1" s="19" t="s">
        <v>1802</v>
      </c>
      <c r="C1" s="19" t="s">
        <v>1803</v>
      </c>
      <c r="D1" s="19" t="s">
        <v>1804</v>
      </c>
      <c r="E1" s="19" t="s">
        <v>1805</v>
      </c>
      <c r="F1" s="19" t="s">
        <v>1806</v>
      </c>
      <c r="G1" s="19" t="s">
        <v>1807</v>
      </c>
      <c r="H1" s="19" t="s">
        <v>1808</v>
      </c>
      <c r="I1" s="19" t="s">
        <v>1809</v>
      </c>
      <c r="J1" s="19"/>
      <c r="K1" s="1">
        <v>610</v>
      </c>
    </row>
    <row r="2" spans="1:31" ht="18.75" x14ac:dyDescent="0.45">
      <c r="A2" s="247" t="s">
        <v>68</v>
      </c>
      <c r="B2"/>
      <c r="C2" s="248" t="s">
        <v>1903</v>
      </c>
      <c r="D2" s="247" t="s">
        <v>1904</v>
      </c>
      <c r="E2"/>
      <c r="F2" s="254" t="s">
        <v>1888</v>
      </c>
      <c r="G2"/>
      <c r="H2">
        <v>52</v>
      </c>
      <c r="I2" t="s">
        <v>1679</v>
      </c>
      <c r="J2" s="10"/>
      <c r="AE2" s="55"/>
    </row>
    <row r="3" spans="1:31" ht="18.75" x14ac:dyDescent="0.45">
      <c r="A3" s="247" t="s">
        <v>1810</v>
      </c>
      <c r="B3"/>
      <c r="C3" s="253" t="s">
        <v>1908</v>
      </c>
      <c r="D3" s="247" t="s">
        <v>1909</v>
      </c>
      <c r="E3" s="252" t="s">
        <v>1910</v>
      </c>
      <c r="F3" s="250" t="s">
        <v>1911</v>
      </c>
      <c r="G3"/>
      <c r="H3">
        <v>20</v>
      </c>
      <c r="I3" t="s">
        <v>1678</v>
      </c>
    </row>
    <row r="4" spans="1:31" ht="18.75" x14ac:dyDescent="0.45">
      <c r="A4" s="247" t="s">
        <v>1811</v>
      </c>
      <c r="B4"/>
      <c r="C4" s="248" t="s">
        <v>1915</v>
      </c>
      <c r="D4" s="247" t="s">
        <v>1916</v>
      </c>
      <c r="E4" s="255" t="s">
        <v>1917</v>
      </c>
      <c r="F4" s="254" t="s">
        <v>1888</v>
      </c>
      <c r="G4"/>
      <c r="H4">
        <v>1</v>
      </c>
      <c r="I4" t="s">
        <v>681</v>
      </c>
    </row>
    <row r="5" spans="1:31" ht="18.75" x14ac:dyDescent="0.45">
      <c r="A5" s="247" t="s">
        <v>1812</v>
      </c>
      <c r="B5"/>
      <c r="C5" s="252" t="s">
        <v>1920</v>
      </c>
      <c r="D5" s="247" t="s">
        <v>1921</v>
      </c>
      <c r="E5" s="254" t="s">
        <v>1922</v>
      </c>
      <c r="F5"/>
      <c r="G5"/>
      <c r="H5">
        <v>1</v>
      </c>
      <c r="I5" t="s">
        <v>1100</v>
      </c>
    </row>
    <row r="6" spans="1:31" ht="18.75" x14ac:dyDescent="0.45">
      <c r="A6" s="247" t="s">
        <v>1813</v>
      </c>
      <c r="B6" s="248" t="s">
        <v>1903</v>
      </c>
      <c r="C6" s="252" t="s">
        <v>1923</v>
      </c>
      <c r="D6" s="247" t="s">
        <v>1924</v>
      </c>
      <c r="E6" s="263" t="s">
        <v>1891</v>
      </c>
      <c r="F6" s="261" t="s">
        <v>1925</v>
      </c>
      <c r="G6" s="254" t="s">
        <v>1888</v>
      </c>
      <c r="H6">
        <v>2</v>
      </c>
      <c r="I6" t="s">
        <v>1677</v>
      </c>
    </row>
    <row r="7" spans="1:31" ht="18.75" x14ac:dyDescent="0.45">
      <c r="A7" s="247" t="s">
        <v>1814</v>
      </c>
      <c r="B7"/>
      <c r="C7" s="249" t="s">
        <v>1926</v>
      </c>
      <c r="D7" s="247" t="s">
        <v>1927</v>
      </c>
      <c r="E7" s="252" t="s">
        <v>1920</v>
      </c>
      <c r="F7" s="254" t="s">
        <v>1928</v>
      </c>
      <c r="G7"/>
      <c r="H7">
        <v>4</v>
      </c>
      <c r="I7" t="s">
        <v>1676</v>
      </c>
    </row>
    <row r="8" spans="1:31" ht="18.75" x14ac:dyDescent="0.45">
      <c r="A8" s="248" t="s">
        <v>47</v>
      </c>
      <c r="B8"/>
      <c r="C8" s="251" t="s">
        <v>1929</v>
      </c>
      <c r="D8" s="247" t="s">
        <v>1930</v>
      </c>
      <c r="E8" s="252" t="s">
        <v>1905</v>
      </c>
      <c r="F8"/>
      <c r="G8"/>
      <c r="H8">
        <v>16</v>
      </c>
      <c r="I8" t="s">
        <v>3442</v>
      </c>
    </row>
    <row r="9" spans="1:31" ht="18.75" x14ac:dyDescent="0.45">
      <c r="A9" s="248" t="s">
        <v>1815</v>
      </c>
      <c r="B9" s="261" t="s">
        <v>1925</v>
      </c>
      <c r="C9" s="250" t="s">
        <v>1931</v>
      </c>
      <c r="D9" s="247" t="s">
        <v>1932</v>
      </c>
      <c r="E9" s="248" t="s">
        <v>1933</v>
      </c>
      <c r="F9" s="252" t="s">
        <v>1887</v>
      </c>
      <c r="G9"/>
      <c r="H9">
        <v>2</v>
      </c>
      <c r="I9" t="s">
        <v>1675</v>
      </c>
    </row>
    <row r="10" spans="1:31" ht="18.75" x14ac:dyDescent="0.45">
      <c r="A10" s="248" t="s">
        <v>1816</v>
      </c>
      <c r="B10" s="251" t="s">
        <v>1890</v>
      </c>
      <c r="C10" s="256" t="s">
        <v>1935</v>
      </c>
      <c r="D10" s="247" t="s">
        <v>1936</v>
      </c>
      <c r="E10" s="248" t="s">
        <v>1937</v>
      </c>
      <c r="F10"/>
      <c r="G10"/>
      <c r="H10">
        <v>1</v>
      </c>
      <c r="I10" t="s">
        <v>1080</v>
      </c>
    </row>
    <row r="11" spans="1:31" ht="18.75" x14ac:dyDescent="0.45">
      <c r="A11" s="248" t="s">
        <v>1817</v>
      </c>
      <c r="B11"/>
      <c r="C11" s="248" t="s">
        <v>1938</v>
      </c>
      <c r="D11" s="251" t="s">
        <v>1939</v>
      </c>
      <c r="E11" s="247" t="s">
        <v>1940</v>
      </c>
      <c r="F11"/>
      <c r="G11"/>
      <c r="H11">
        <v>1</v>
      </c>
      <c r="I11" t="s">
        <v>1747</v>
      </c>
    </row>
    <row r="12" spans="1:31" ht="18.75" x14ac:dyDescent="0.45">
      <c r="A12" s="248" t="s">
        <v>1818</v>
      </c>
      <c r="B12"/>
      <c r="C12" s="248" t="s">
        <v>1941</v>
      </c>
      <c r="D12" s="251" t="s">
        <v>1942</v>
      </c>
      <c r="E12" s="247" t="s">
        <v>1943</v>
      </c>
      <c r="F12" s="249" t="s">
        <v>1944</v>
      </c>
      <c r="G12"/>
      <c r="H12">
        <v>2</v>
      </c>
      <c r="I12" t="s">
        <v>1674</v>
      </c>
    </row>
    <row r="13" spans="1:31" ht="18.75" x14ac:dyDescent="0.45">
      <c r="A13" s="248" t="s">
        <v>1819</v>
      </c>
      <c r="B13"/>
      <c r="C13" s="250" t="s">
        <v>1945</v>
      </c>
      <c r="D13" s="247" t="s">
        <v>1946</v>
      </c>
      <c r="E13" s="255" t="s">
        <v>1947</v>
      </c>
      <c r="F13" s="252" t="s">
        <v>1887</v>
      </c>
      <c r="G13"/>
      <c r="H13">
        <v>6</v>
      </c>
      <c r="I13" t="s">
        <v>1673</v>
      </c>
    </row>
    <row r="14" spans="1:31" ht="18.75" x14ac:dyDescent="0.45">
      <c r="A14" s="248" t="s">
        <v>1820</v>
      </c>
      <c r="B14"/>
      <c r="C14" s="251" t="s">
        <v>1948</v>
      </c>
      <c r="D14" s="247" t="s">
        <v>1949</v>
      </c>
      <c r="E14" s="252" t="s">
        <v>1950</v>
      </c>
      <c r="F14"/>
      <c r="G14"/>
      <c r="H14">
        <v>1</v>
      </c>
      <c r="I14" t="s">
        <v>1355</v>
      </c>
    </row>
    <row r="15" spans="1:31" ht="18.75" x14ac:dyDescent="0.45">
      <c r="A15" s="248" t="s">
        <v>1821</v>
      </c>
      <c r="B15" s="251" t="s">
        <v>1890</v>
      </c>
      <c r="C15" s="249" t="s">
        <v>1951</v>
      </c>
      <c r="D15" s="247" t="s">
        <v>1952</v>
      </c>
      <c r="E15" s="250" t="s">
        <v>1953</v>
      </c>
      <c r="F15"/>
      <c r="G15"/>
      <c r="H15">
        <v>2</v>
      </c>
      <c r="I15" t="s">
        <v>2770</v>
      </c>
    </row>
    <row r="16" spans="1:31" ht="18.75" x14ac:dyDescent="0.45">
      <c r="A16" s="248" t="s">
        <v>1822</v>
      </c>
      <c r="B16"/>
      <c r="C16" s="251" t="s">
        <v>1954</v>
      </c>
      <c r="D16" s="247" t="s">
        <v>1955</v>
      </c>
      <c r="E16" s="248" t="s">
        <v>1956</v>
      </c>
      <c r="F16"/>
      <c r="G16"/>
      <c r="H16">
        <v>3</v>
      </c>
      <c r="I16" t="s">
        <v>1672</v>
      </c>
    </row>
    <row r="17" spans="1:9" ht="18.75" x14ac:dyDescent="0.45">
      <c r="A17" s="249" t="s">
        <v>32</v>
      </c>
      <c r="B17"/>
      <c r="C17" s="250" t="s">
        <v>1906</v>
      </c>
      <c r="D17" s="247" t="s">
        <v>1957</v>
      </c>
      <c r="E17" s="248" t="s">
        <v>1958</v>
      </c>
      <c r="F17"/>
      <c r="G17"/>
      <c r="H17">
        <v>15</v>
      </c>
      <c r="I17" t="s">
        <v>3443</v>
      </c>
    </row>
    <row r="18" spans="1:9" ht="18.75" x14ac:dyDescent="0.45">
      <c r="A18" s="249" t="s">
        <v>1823</v>
      </c>
      <c r="B18"/>
      <c r="C18" s="250" t="s">
        <v>1959</v>
      </c>
      <c r="D18" s="247" t="s">
        <v>1960</v>
      </c>
      <c r="E18" s="248" t="s">
        <v>1961</v>
      </c>
      <c r="F18" s="249" t="s">
        <v>1962</v>
      </c>
      <c r="G18"/>
      <c r="H18">
        <v>2</v>
      </c>
      <c r="I18" t="s">
        <v>1671</v>
      </c>
    </row>
    <row r="19" spans="1:9" ht="18.75" x14ac:dyDescent="0.45">
      <c r="A19" s="249" t="s">
        <v>1824</v>
      </c>
      <c r="B19"/>
      <c r="C19" s="253" t="s">
        <v>1963</v>
      </c>
      <c r="D19" s="247" t="s">
        <v>1964</v>
      </c>
      <c r="E19" s="249" t="s">
        <v>1965</v>
      </c>
      <c r="F19" s="248" t="s">
        <v>1966</v>
      </c>
      <c r="G19"/>
      <c r="H19">
        <v>3</v>
      </c>
      <c r="I19" t="s">
        <v>1670</v>
      </c>
    </row>
    <row r="20" spans="1:9" ht="18.75" x14ac:dyDescent="0.45">
      <c r="A20" s="249" t="s">
        <v>1825</v>
      </c>
      <c r="B20"/>
      <c r="C20" s="251" t="s">
        <v>1967</v>
      </c>
      <c r="D20" s="247" t="s">
        <v>1968</v>
      </c>
      <c r="E20" s="249" t="s">
        <v>1969</v>
      </c>
      <c r="F20" s="248" t="s">
        <v>1970</v>
      </c>
      <c r="G20"/>
      <c r="H20">
        <v>12</v>
      </c>
      <c r="I20" t="s">
        <v>3444</v>
      </c>
    </row>
    <row r="21" spans="1:9" ht="18.75" x14ac:dyDescent="0.45">
      <c r="A21" s="249" t="s">
        <v>1826</v>
      </c>
      <c r="B21"/>
      <c r="C21" s="250" t="s">
        <v>1972</v>
      </c>
      <c r="D21" s="251" t="s">
        <v>1973</v>
      </c>
      <c r="E21" s="259" t="s">
        <v>1974</v>
      </c>
      <c r="F21" s="247" t="s">
        <v>1975</v>
      </c>
      <c r="G21" s="248" t="s">
        <v>1903</v>
      </c>
      <c r="H21">
        <v>3</v>
      </c>
      <c r="I21" t="s">
        <v>1669</v>
      </c>
    </row>
    <row r="22" spans="1:9" ht="18.75" x14ac:dyDescent="0.45">
      <c r="A22" s="249" t="s">
        <v>1827</v>
      </c>
      <c r="B22"/>
      <c r="C22" s="250" t="s">
        <v>1977</v>
      </c>
      <c r="D22" s="247" t="s">
        <v>1978</v>
      </c>
      <c r="E22" s="248" t="s">
        <v>1979</v>
      </c>
      <c r="F22"/>
      <c r="G22"/>
      <c r="H22">
        <v>3</v>
      </c>
      <c r="I22" t="s">
        <v>1668</v>
      </c>
    </row>
    <row r="23" spans="1:9" ht="18.75" x14ac:dyDescent="0.45">
      <c r="A23" s="249" t="s">
        <v>1828</v>
      </c>
      <c r="B23"/>
      <c r="C23" s="251" t="s">
        <v>1980</v>
      </c>
      <c r="D23" s="247" t="s">
        <v>1981</v>
      </c>
      <c r="E23" s="248" t="s">
        <v>1982</v>
      </c>
      <c r="F23" s="259" t="s">
        <v>1983</v>
      </c>
      <c r="G23"/>
      <c r="H23">
        <v>14</v>
      </c>
      <c r="I23" t="s">
        <v>1667</v>
      </c>
    </row>
    <row r="24" spans="1:9" ht="18.75" x14ac:dyDescent="0.45">
      <c r="A24" s="249" t="s">
        <v>1829</v>
      </c>
      <c r="B24"/>
      <c r="C24" s="250" t="s">
        <v>1892</v>
      </c>
      <c r="D24" s="247" t="s">
        <v>1984</v>
      </c>
      <c r="E24" s="249" t="s">
        <v>1985</v>
      </c>
      <c r="F24"/>
      <c r="G24"/>
      <c r="H24">
        <v>5</v>
      </c>
      <c r="I24" t="s">
        <v>1666</v>
      </c>
    </row>
    <row r="25" spans="1:9" ht="18.75" x14ac:dyDescent="0.45">
      <c r="A25" s="249" t="s">
        <v>1830</v>
      </c>
      <c r="B25"/>
      <c r="C25" s="250" t="s">
        <v>1986</v>
      </c>
      <c r="D25" s="247" t="s">
        <v>1987</v>
      </c>
      <c r="E25" s="259" t="s">
        <v>1988</v>
      </c>
      <c r="F25" s="248" t="s">
        <v>1989</v>
      </c>
      <c r="G25"/>
      <c r="H25">
        <v>1</v>
      </c>
      <c r="I25" t="s">
        <v>1267</v>
      </c>
    </row>
    <row r="26" spans="1:9" ht="18.75" x14ac:dyDescent="0.45">
      <c r="A26" s="250" t="s">
        <v>3</v>
      </c>
      <c r="B26"/>
      <c r="C26" s="257" t="s">
        <v>1990</v>
      </c>
      <c r="D26" s="247" t="s">
        <v>1991</v>
      </c>
      <c r="E26" s="249" t="s">
        <v>1907</v>
      </c>
      <c r="F26" s="258" t="s">
        <v>1992</v>
      </c>
      <c r="G26"/>
      <c r="H26">
        <v>13</v>
      </c>
      <c r="I26" t="s">
        <v>1665</v>
      </c>
    </row>
    <row r="27" spans="1:9" ht="18.75" x14ac:dyDescent="0.45">
      <c r="A27" s="250" t="s">
        <v>1831</v>
      </c>
      <c r="B27" s="260" t="s">
        <v>1919</v>
      </c>
      <c r="C27" s="257" t="s">
        <v>1993</v>
      </c>
      <c r="D27" s="247" t="s">
        <v>1994</v>
      </c>
      <c r="E27" s="248" t="s">
        <v>1995</v>
      </c>
      <c r="F27" s="250" t="s">
        <v>1892</v>
      </c>
      <c r="G27"/>
      <c r="H27">
        <v>2</v>
      </c>
      <c r="I27" t="s">
        <v>1664</v>
      </c>
    </row>
    <row r="28" spans="1:9" ht="18.75" x14ac:dyDescent="0.45">
      <c r="A28" s="250" t="s">
        <v>1832</v>
      </c>
      <c r="B28"/>
      <c r="C28" s="251" t="s">
        <v>1996</v>
      </c>
      <c r="D28" s="247" t="s">
        <v>1997</v>
      </c>
      <c r="E28" s="248" t="s">
        <v>1998</v>
      </c>
      <c r="F28" s="258" t="s">
        <v>1992</v>
      </c>
      <c r="G28"/>
      <c r="H28">
        <v>2</v>
      </c>
      <c r="I28" t="s">
        <v>1663</v>
      </c>
    </row>
    <row r="29" spans="1:9" ht="18.75" x14ac:dyDescent="0.45">
      <c r="A29" s="250" t="s">
        <v>1833</v>
      </c>
      <c r="B29" s="257" t="s">
        <v>1999</v>
      </c>
      <c r="C29" s="248" t="s">
        <v>2000</v>
      </c>
      <c r="D29" s="252" t="s">
        <v>2001</v>
      </c>
      <c r="E29" s="247" t="s">
        <v>2002</v>
      </c>
      <c r="F29" s="249" t="s">
        <v>1962</v>
      </c>
      <c r="G29"/>
      <c r="H29">
        <v>9</v>
      </c>
      <c r="I29" t="s">
        <v>1662</v>
      </c>
    </row>
    <row r="30" spans="1:9" ht="18.75" x14ac:dyDescent="0.45">
      <c r="A30" s="250" t="s">
        <v>1834</v>
      </c>
      <c r="B30"/>
      <c r="C30" s="254" t="s">
        <v>2003</v>
      </c>
      <c r="D30" s="250" t="s">
        <v>2004</v>
      </c>
      <c r="E30" s="252" t="s">
        <v>2005</v>
      </c>
      <c r="F30" s="247" t="s">
        <v>2006</v>
      </c>
      <c r="G30"/>
      <c r="H30">
        <v>2</v>
      </c>
      <c r="I30" t="s">
        <v>1661</v>
      </c>
    </row>
    <row r="31" spans="1:9" ht="18.75" x14ac:dyDescent="0.45">
      <c r="A31" s="250" t="s">
        <v>1835</v>
      </c>
      <c r="B31"/>
      <c r="C31" s="248" t="s">
        <v>2007</v>
      </c>
      <c r="D31" s="254" t="s">
        <v>2008</v>
      </c>
      <c r="E31" s="247" t="s">
        <v>2009</v>
      </c>
      <c r="F31" s="253" t="s">
        <v>1934</v>
      </c>
      <c r="G31" s="249" t="s">
        <v>1971</v>
      </c>
      <c r="H31">
        <v>4</v>
      </c>
      <c r="I31" t="s">
        <v>1660</v>
      </c>
    </row>
    <row r="32" spans="1:9" ht="18.75" x14ac:dyDescent="0.45">
      <c r="A32" s="250" t="s">
        <v>1836</v>
      </c>
      <c r="B32" s="257" t="s">
        <v>1993</v>
      </c>
      <c r="C32" s="250" t="s">
        <v>1892</v>
      </c>
      <c r="D32" s="247" t="s">
        <v>2010</v>
      </c>
      <c r="E32" s="249" t="s">
        <v>2011</v>
      </c>
      <c r="F32" s="258" t="s">
        <v>1992</v>
      </c>
      <c r="G32"/>
      <c r="H32">
        <v>2</v>
      </c>
      <c r="I32" t="s">
        <v>1659</v>
      </c>
    </row>
    <row r="33" spans="1:9" ht="18.75" x14ac:dyDescent="0.45">
      <c r="A33" s="250" t="s">
        <v>1837</v>
      </c>
      <c r="B33" s="259" t="s">
        <v>1983</v>
      </c>
      <c r="C33"/>
      <c r="D33" s="247" t="s">
        <v>2012</v>
      </c>
      <c r="E33" s="249" t="s">
        <v>2013</v>
      </c>
      <c r="F33"/>
      <c r="G33"/>
      <c r="H33">
        <v>10</v>
      </c>
      <c r="I33" t="s">
        <v>3445</v>
      </c>
    </row>
    <row r="34" spans="1:9" ht="18.75" x14ac:dyDescent="0.45">
      <c r="A34" s="250" t="s">
        <v>1838</v>
      </c>
      <c r="B34" s="260" t="s">
        <v>1919</v>
      </c>
      <c r="C34" s="251" t="s">
        <v>2014</v>
      </c>
      <c r="D34" s="247" t="s">
        <v>2015</v>
      </c>
      <c r="E34" s="250" t="s">
        <v>2016</v>
      </c>
      <c r="F34"/>
      <c r="G34" s="258" t="s">
        <v>1992</v>
      </c>
      <c r="H34">
        <v>1</v>
      </c>
      <c r="I34" t="s">
        <v>200</v>
      </c>
    </row>
    <row r="35" spans="1:9" ht="18.75" x14ac:dyDescent="0.45">
      <c r="A35" s="250" t="s">
        <v>1839</v>
      </c>
      <c r="B35"/>
      <c r="C35" s="248" t="s">
        <v>2017</v>
      </c>
      <c r="D35" s="247" t="s">
        <v>2018</v>
      </c>
      <c r="E35" s="249" t="s">
        <v>1971</v>
      </c>
      <c r="F35" s="258" t="s">
        <v>1992</v>
      </c>
      <c r="G35"/>
      <c r="H35">
        <v>3</v>
      </c>
      <c r="I35" t="s">
        <v>1658</v>
      </c>
    </row>
    <row r="36" spans="1:9" ht="18.75" x14ac:dyDescent="0.45">
      <c r="A36" s="250" t="s">
        <v>1840</v>
      </c>
      <c r="B36"/>
      <c r="C36" s="252" t="s">
        <v>2019</v>
      </c>
      <c r="D36" s="247" t="s">
        <v>2020</v>
      </c>
      <c r="E36" s="248" t="s">
        <v>2021</v>
      </c>
      <c r="F36" s="258" t="s">
        <v>1992</v>
      </c>
      <c r="G36"/>
      <c r="H36">
        <v>2</v>
      </c>
      <c r="I36" t="s">
        <v>1657</v>
      </c>
    </row>
    <row r="37" spans="1:9" ht="18.75" x14ac:dyDescent="0.45">
      <c r="A37" s="250" t="s">
        <v>1841</v>
      </c>
      <c r="B37" s="260" t="s">
        <v>1919</v>
      </c>
      <c r="C37" s="262" t="s">
        <v>2022</v>
      </c>
      <c r="D37" s="247" t="s">
        <v>2023</v>
      </c>
      <c r="E37" s="249" t="s">
        <v>2024</v>
      </c>
      <c r="F37"/>
      <c r="G37" s="258" t="s">
        <v>1992</v>
      </c>
      <c r="H37">
        <v>5</v>
      </c>
      <c r="I37" t="s">
        <v>1656</v>
      </c>
    </row>
    <row r="38" spans="1:9" ht="18.75" x14ac:dyDescent="0.45">
      <c r="A38" s="251" t="s">
        <v>1842</v>
      </c>
      <c r="B38" s="253" t="s">
        <v>2025</v>
      </c>
      <c r="C38" s="251" t="s">
        <v>2026</v>
      </c>
      <c r="D38" s="247" t="s">
        <v>2027</v>
      </c>
      <c r="E38" s="252" t="s">
        <v>1887</v>
      </c>
      <c r="F38" s="248" t="s">
        <v>1970</v>
      </c>
      <c r="G38" s="250" t="s">
        <v>1892</v>
      </c>
      <c r="H38">
        <v>12</v>
      </c>
      <c r="I38" t="s">
        <v>1655</v>
      </c>
    </row>
    <row r="39" spans="1:9" ht="18.75" x14ac:dyDescent="0.45">
      <c r="A39" s="251" t="s">
        <v>1843</v>
      </c>
      <c r="B39"/>
      <c r="C39" s="253" t="s">
        <v>2028</v>
      </c>
      <c r="D39" s="248" t="s">
        <v>2029</v>
      </c>
      <c r="E39" s="247" t="s">
        <v>2030</v>
      </c>
      <c r="F39"/>
      <c r="G39"/>
      <c r="H39">
        <v>3</v>
      </c>
      <c r="I39" t="s">
        <v>3446</v>
      </c>
    </row>
    <row r="40" spans="1:9" ht="18.75" x14ac:dyDescent="0.45">
      <c r="A40" s="251" t="s">
        <v>1844</v>
      </c>
      <c r="B40"/>
      <c r="C40" s="253" t="s">
        <v>2031</v>
      </c>
      <c r="D40" s="251" t="s">
        <v>2032</v>
      </c>
      <c r="E40" s="249" t="s">
        <v>2033</v>
      </c>
      <c r="F40" s="247" t="s">
        <v>2034</v>
      </c>
      <c r="G40" s="248" t="s">
        <v>1903</v>
      </c>
      <c r="H40">
        <v>2</v>
      </c>
      <c r="I40" t="s">
        <v>1654</v>
      </c>
    </row>
    <row r="41" spans="1:9" ht="18.75" x14ac:dyDescent="0.45">
      <c r="A41" s="251" t="s">
        <v>1845</v>
      </c>
      <c r="B41"/>
      <c r="C41" s="256" t="s">
        <v>2035</v>
      </c>
      <c r="D41" s="248" t="s">
        <v>2036</v>
      </c>
      <c r="E41" s="247" t="s">
        <v>2037</v>
      </c>
      <c r="F41" s="249" t="s">
        <v>2038</v>
      </c>
      <c r="G41"/>
      <c r="H41">
        <v>1</v>
      </c>
      <c r="I41" t="s">
        <v>230</v>
      </c>
    </row>
    <row r="42" spans="1:9" ht="18.75" x14ac:dyDescent="0.45">
      <c r="A42" s="251" t="s">
        <v>1846</v>
      </c>
      <c r="B42" s="253" t="s">
        <v>2025</v>
      </c>
      <c r="C42" s="257" t="s">
        <v>2039</v>
      </c>
      <c r="D42" s="247" t="s">
        <v>2040</v>
      </c>
      <c r="E42" s="248" t="s">
        <v>2041</v>
      </c>
      <c r="F42" s="252" t="s">
        <v>1910</v>
      </c>
      <c r="G42"/>
      <c r="H42">
        <v>3</v>
      </c>
      <c r="I42" t="s">
        <v>1653</v>
      </c>
    </row>
    <row r="43" spans="1:9" ht="18.75" x14ac:dyDescent="0.45">
      <c r="A43" s="251" t="s">
        <v>1847</v>
      </c>
      <c r="B43" s="258" t="s">
        <v>1992</v>
      </c>
      <c r="C43" s="253" t="s">
        <v>2025</v>
      </c>
      <c r="D43" s="247" t="s">
        <v>2042</v>
      </c>
      <c r="E43" s="248" t="s">
        <v>2043</v>
      </c>
      <c r="F43" s="250" t="s">
        <v>1892</v>
      </c>
      <c r="G43"/>
      <c r="H43">
        <v>5</v>
      </c>
      <c r="I43" t="s">
        <v>1652</v>
      </c>
    </row>
    <row r="44" spans="1:9" ht="18.75" x14ac:dyDescent="0.45">
      <c r="A44" s="251" t="s">
        <v>1848</v>
      </c>
      <c r="B44"/>
      <c r="C44" s="253" t="s">
        <v>2044</v>
      </c>
      <c r="D44" s="247" t="s">
        <v>2045</v>
      </c>
      <c r="E44" s="248" t="s">
        <v>2046</v>
      </c>
      <c r="F44"/>
      <c r="G44"/>
      <c r="H44">
        <v>1</v>
      </c>
      <c r="I44" t="s">
        <v>147</v>
      </c>
    </row>
    <row r="45" spans="1:9" ht="18.75" x14ac:dyDescent="0.45">
      <c r="A45" s="251" t="s">
        <v>1849</v>
      </c>
      <c r="B45" s="260" t="s">
        <v>1919</v>
      </c>
      <c r="C45" s="249" t="s">
        <v>2047</v>
      </c>
      <c r="D45" s="247" t="s">
        <v>2048</v>
      </c>
      <c r="E45" s="248" t="s">
        <v>2049</v>
      </c>
      <c r="F45" s="259" t="s">
        <v>1983</v>
      </c>
      <c r="G45" s="250" t="s">
        <v>1892</v>
      </c>
      <c r="H45">
        <v>4</v>
      </c>
      <c r="I45" t="s">
        <v>1651</v>
      </c>
    </row>
    <row r="46" spans="1:9" ht="18.75" x14ac:dyDescent="0.45">
      <c r="A46" s="251" t="s">
        <v>1850</v>
      </c>
      <c r="B46" s="253" t="s">
        <v>2025</v>
      </c>
      <c r="C46" s="255" t="s">
        <v>2050</v>
      </c>
      <c r="D46" s="247" t="s">
        <v>2051</v>
      </c>
      <c r="E46" s="252" t="s">
        <v>1910</v>
      </c>
      <c r="F46" s="250" t="s">
        <v>1892</v>
      </c>
      <c r="G46"/>
      <c r="H46">
        <v>2</v>
      </c>
      <c r="I46" t="s">
        <v>1650</v>
      </c>
    </row>
    <row r="47" spans="1:9" ht="18.75" x14ac:dyDescent="0.45">
      <c r="A47" s="251" t="s">
        <v>1851</v>
      </c>
      <c r="B47"/>
      <c r="C47" s="253" t="s">
        <v>2031</v>
      </c>
      <c r="D47" s="247" t="s">
        <v>2052</v>
      </c>
      <c r="E47" s="259" t="s">
        <v>2053</v>
      </c>
      <c r="F47" s="248" t="s">
        <v>1918</v>
      </c>
      <c r="G47"/>
      <c r="H47">
        <v>4</v>
      </c>
      <c r="I47" t="s">
        <v>3447</v>
      </c>
    </row>
    <row r="48" spans="1:9" ht="18.75" x14ac:dyDescent="0.45">
      <c r="A48" s="251" t="s">
        <v>1852</v>
      </c>
      <c r="B48" s="260" t="s">
        <v>1919</v>
      </c>
      <c r="C48" s="253" t="s">
        <v>2054</v>
      </c>
      <c r="D48" s="247" t="s">
        <v>2055</v>
      </c>
      <c r="E48" s="248" t="s">
        <v>2056</v>
      </c>
      <c r="F48" s="250" t="s">
        <v>1913</v>
      </c>
      <c r="G48"/>
      <c r="H48">
        <v>4</v>
      </c>
      <c r="I48" t="s">
        <v>1649</v>
      </c>
    </row>
    <row r="49" spans="1:9" ht="18.75" x14ac:dyDescent="0.45">
      <c r="A49" s="251" t="s">
        <v>1853</v>
      </c>
      <c r="B49"/>
      <c r="C49" s="253" t="s">
        <v>2057</v>
      </c>
      <c r="D49" s="247" t="s">
        <v>2058</v>
      </c>
      <c r="E49" s="254" t="s">
        <v>2059</v>
      </c>
      <c r="F49" s="250" t="s">
        <v>1906</v>
      </c>
      <c r="G49"/>
      <c r="H49">
        <v>2</v>
      </c>
      <c r="I49" t="s">
        <v>1648</v>
      </c>
    </row>
    <row r="50" spans="1:9" ht="18.75" x14ac:dyDescent="0.45">
      <c r="A50" s="251" t="s">
        <v>1854</v>
      </c>
      <c r="B50"/>
      <c r="C50" s="249" t="s">
        <v>2060</v>
      </c>
      <c r="D50" s="247" t="s">
        <v>2061</v>
      </c>
      <c r="E50" s="259" t="s">
        <v>2062</v>
      </c>
      <c r="F50" s="248" t="s">
        <v>2063</v>
      </c>
      <c r="G50"/>
      <c r="H50">
        <v>2</v>
      </c>
      <c r="I50" t="s">
        <v>1647</v>
      </c>
    </row>
    <row r="51" spans="1:9" ht="18.75" x14ac:dyDescent="0.45">
      <c r="A51" s="252" t="s">
        <v>29</v>
      </c>
      <c r="B51"/>
      <c r="C51" s="251" t="s">
        <v>1912</v>
      </c>
      <c r="D51" s="247" t="s">
        <v>2064</v>
      </c>
      <c r="E51" s="248" t="s">
        <v>2065</v>
      </c>
      <c r="F51"/>
      <c r="G51"/>
      <c r="H51">
        <v>17</v>
      </c>
      <c r="I51" t="s">
        <v>3448</v>
      </c>
    </row>
    <row r="52" spans="1:9" ht="18.75" x14ac:dyDescent="0.45">
      <c r="A52" s="252" t="s">
        <v>1855</v>
      </c>
      <c r="B52"/>
      <c r="C52" s="253" t="s">
        <v>2066</v>
      </c>
      <c r="D52" s="248" t="s">
        <v>2067</v>
      </c>
      <c r="E52" s="247" t="s">
        <v>2068</v>
      </c>
      <c r="F52"/>
      <c r="G52"/>
      <c r="H52">
        <v>5</v>
      </c>
      <c r="I52" t="s">
        <v>3449</v>
      </c>
    </row>
    <row r="53" spans="1:9" ht="18.75" x14ac:dyDescent="0.45">
      <c r="A53" s="252" t="s">
        <v>1856</v>
      </c>
      <c r="B53"/>
      <c r="C53" s="251" t="s">
        <v>2069</v>
      </c>
      <c r="D53" s="255" t="s">
        <v>2070</v>
      </c>
      <c r="E53" s="249" t="s">
        <v>2071</v>
      </c>
      <c r="F53" s="247" t="s">
        <v>1889</v>
      </c>
      <c r="G53" s="248" t="s">
        <v>1903</v>
      </c>
      <c r="H53">
        <v>1</v>
      </c>
      <c r="I53" t="s">
        <v>928</v>
      </c>
    </row>
    <row r="54" spans="1:9" ht="18.75" x14ac:dyDescent="0.45">
      <c r="A54" s="252" t="s">
        <v>1857</v>
      </c>
      <c r="B54" s="256" t="s">
        <v>1976</v>
      </c>
      <c r="C54"/>
      <c r="D54" s="248" t="s">
        <v>2072</v>
      </c>
      <c r="E54" s="247" t="s">
        <v>2073</v>
      </c>
      <c r="F54" s="249" t="s">
        <v>2033</v>
      </c>
      <c r="G54"/>
      <c r="H54">
        <v>5</v>
      </c>
      <c r="I54" t="s">
        <v>3450</v>
      </c>
    </row>
    <row r="55" spans="1:9" ht="18.75" x14ac:dyDescent="0.45">
      <c r="A55" s="252" t="s">
        <v>1858</v>
      </c>
      <c r="B55"/>
      <c r="C55" s="251" t="s">
        <v>2074</v>
      </c>
      <c r="D55" s="247" t="s">
        <v>2075</v>
      </c>
      <c r="E55" s="248" t="s">
        <v>2076</v>
      </c>
      <c r="F55"/>
      <c r="G55"/>
      <c r="H55">
        <v>1</v>
      </c>
      <c r="I55" t="s">
        <v>950</v>
      </c>
    </row>
    <row r="56" spans="1:9" ht="18.75" x14ac:dyDescent="0.45">
      <c r="A56" s="252" t="s">
        <v>3438</v>
      </c>
      <c r="B56"/>
      <c r="C56" s="253" t="s">
        <v>3439</v>
      </c>
      <c r="D56" s="247" t="s">
        <v>3440</v>
      </c>
      <c r="E56" s="248" t="s">
        <v>3441</v>
      </c>
      <c r="F56"/>
      <c r="G56"/>
      <c r="H56">
        <v>2</v>
      </c>
      <c r="I56" t="s">
        <v>3451</v>
      </c>
    </row>
    <row r="57" spans="1:9" ht="18.75" x14ac:dyDescent="0.45">
      <c r="A57" s="252" t="s">
        <v>1859</v>
      </c>
      <c r="B57" s="251" t="s">
        <v>2077</v>
      </c>
      <c r="C57" s="249" t="s">
        <v>2078</v>
      </c>
      <c r="D57" s="247" t="s">
        <v>2079</v>
      </c>
      <c r="E57" s="248" t="s">
        <v>2080</v>
      </c>
      <c r="F57" s="250" t="s">
        <v>1913</v>
      </c>
      <c r="G57"/>
      <c r="H57">
        <v>3</v>
      </c>
      <c r="I57" t="s">
        <v>1646</v>
      </c>
    </row>
    <row r="58" spans="1:9" ht="18.75" x14ac:dyDescent="0.45">
      <c r="A58" s="253" t="s">
        <v>43</v>
      </c>
      <c r="B58"/>
      <c r="C58" s="248" t="s">
        <v>2081</v>
      </c>
      <c r="D58" s="252" t="s">
        <v>2082</v>
      </c>
      <c r="E58" s="247" t="s">
        <v>1914</v>
      </c>
      <c r="F58"/>
      <c r="G58"/>
      <c r="H58">
        <v>9</v>
      </c>
      <c r="I58" t="s">
        <v>3452</v>
      </c>
    </row>
    <row r="59" spans="1:9" ht="18.75" x14ac:dyDescent="0.45">
      <c r="A59" s="253" t="s">
        <v>1860</v>
      </c>
      <c r="B59" s="248" t="s">
        <v>1918</v>
      </c>
      <c r="C59" s="257" t="s">
        <v>1993</v>
      </c>
      <c r="D59" s="254" t="s">
        <v>2083</v>
      </c>
      <c r="E59" s="252" t="s">
        <v>2084</v>
      </c>
      <c r="F59" s="247" t="s">
        <v>2085</v>
      </c>
      <c r="G59" s="249" t="s">
        <v>1971</v>
      </c>
      <c r="H59">
        <v>6</v>
      </c>
      <c r="I59" t="s">
        <v>1645</v>
      </c>
    </row>
    <row r="60" spans="1:9" ht="18.75" x14ac:dyDescent="0.45">
      <c r="A60" s="253" t="s">
        <v>1861</v>
      </c>
      <c r="B60" s="250" t="s">
        <v>2086</v>
      </c>
      <c r="C60" s="248" t="s">
        <v>1956</v>
      </c>
      <c r="D60" s="254" t="s">
        <v>2087</v>
      </c>
      <c r="E60" s="247" t="s">
        <v>2088</v>
      </c>
      <c r="F60" s="256" t="s">
        <v>1976</v>
      </c>
      <c r="G60"/>
      <c r="H60">
        <v>1</v>
      </c>
      <c r="I60" t="s">
        <v>1068</v>
      </c>
    </row>
    <row r="61" spans="1:9" ht="18.75" x14ac:dyDescent="0.45">
      <c r="A61" s="253" t="s">
        <v>1862</v>
      </c>
      <c r="B61" s="259" t="s">
        <v>1983</v>
      </c>
      <c r="C61" s="248" t="s">
        <v>2089</v>
      </c>
      <c r="D61" s="252" t="s">
        <v>2090</v>
      </c>
      <c r="E61" s="247" t="s">
        <v>2091</v>
      </c>
      <c r="F61" s="256" t="s">
        <v>1976</v>
      </c>
      <c r="G61"/>
      <c r="H61">
        <v>7</v>
      </c>
      <c r="I61" t="s">
        <v>3453</v>
      </c>
    </row>
    <row r="62" spans="1:9" ht="18.75" x14ac:dyDescent="0.45">
      <c r="A62" s="253" t="s">
        <v>1863</v>
      </c>
      <c r="B62" s="250" t="s">
        <v>1892</v>
      </c>
      <c r="C62" s="248" t="s">
        <v>2092</v>
      </c>
      <c r="D62" s="252" t="s">
        <v>2093</v>
      </c>
      <c r="E62" s="247" t="s">
        <v>2094</v>
      </c>
      <c r="F62" s="251" t="s">
        <v>1890</v>
      </c>
      <c r="G62"/>
      <c r="H62">
        <v>3</v>
      </c>
      <c r="I62" t="s">
        <v>1644</v>
      </c>
    </row>
    <row r="63" spans="1:9" ht="18.75" x14ac:dyDescent="0.45">
      <c r="A63" s="253" t="s">
        <v>1864</v>
      </c>
      <c r="B63"/>
      <c r="C63" s="248" t="s">
        <v>2095</v>
      </c>
      <c r="D63" s="249" t="s">
        <v>2096</v>
      </c>
      <c r="E63" s="247" t="s">
        <v>2097</v>
      </c>
      <c r="F63"/>
      <c r="G63"/>
      <c r="H63">
        <v>2</v>
      </c>
      <c r="I63" t="s">
        <v>1643</v>
      </c>
    </row>
    <row r="64" spans="1:9" ht="18.75" x14ac:dyDescent="0.45">
      <c r="A64" s="253" t="s">
        <v>1865</v>
      </c>
      <c r="B64"/>
      <c r="C64" s="250" t="s">
        <v>2098</v>
      </c>
      <c r="D64" s="248" t="s">
        <v>2099</v>
      </c>
      <c r="E64" s="247" t="s">
        <v>2100</v>
      </c>
      <c r="F64"/>
      <c r="G64"/>
      <c r="H64">
        <v>2</v>
      </c>
      <c r="I64" t="s">
        <v>1642</v>
      </c>
    </row>
    <row r="65" spans="1:9" ht="18.75" x14ac:dyDescent="0.45">
      <c r="A65" s="253" t="s">
        <v>1866</v>
      </c>
      <c r="B65" s="248" t="s">
        <v>1903</v>
      </c>
      <c r="C65" s="250" t="s">
        <v>2101</v>
      </c>
      <c r="D65" s="253" t="s">
        <v>2102</v>
      </c>
      <c r="E65" s="247" t="s">
        <v>2103</v>
      </c>
      <c r="F65" s="261" t="s">
        <v>1925</v>
      </c>
      <c r="G65"/>
      <c r="H65">
        <v>1</v>
      </c>
      <c r="I65" t="s">
        <v>293</v>
      </c>
    </row>
    <row r="66" spans="1:9" x14ac:dyDescent="0.45">
      <c r="A66" s="68" t="s">
        <v>16</v>
      </c>
      <c r="C66" s="68" t="s">
        <v>2645</v>
      </c>
      <c r="D66" s="71" t="s">
        <v>2646</v>
      </c>
      <c r="E66" s="54" t="s">
        <v>2647</v>
      </c>
      <c r="F66" s="15" t="s">
        <v>2648</v>
      </c>
      <c r="H66" s="82">
        <v>9</v>
      </c>
      <c r="I66" s="1" t="s">
        <v>1641</v>
      </c>
    </row>
    <row r="67" spans="1:9" x14ac:dyDescent="0.45">
      <c r="A67" s="68" t="s">
        <v>2614</v>
      </c>
      <c r="C67" s="71" t="s">
        <v>2650</v>
      </c>
      <c r="D67" s="16" t="s">
        <v>2651</v>
      </c>
      <c r="E67" s="54" t="s">
        <v>2652</v>
      </c>
      <c r="F67" s="15" t="s">
        <v>2653</v>
      </c>
      <c r="H67" s="82">
        <v>4</v>
      </c>
      <c r="I67" s="1" t="s">
        <v>1640</v>
      </c>
    </row>
    <row r="68" spans="1:9" x14ac:dyDescent="0.45">
      <c r="A68" s="68" t="s">
        <v>2615</v>
      </c>
      <c r="C68" s="52" t="s">
        <v>2655</v>
      </c>
      <c r="D68" s="71" t="s">
        <v>2656</v>
      </c>
      <c r="E68" s="55" t="s">
        <v>2657</v>
      </c>
      <c r="F68" s="15" t="s">
        <v>1889</v>
      </c>
      <c r="H68" s="82">
        <v>1</v>
      </c>
      <c r="I68" s="1" t="s">
        <v>495</v>
      </c>
    </row>
    <row r="69" spans="1:9" x14ac:dyDescent="0.45">
      <c r="A69" s="68" t="s">
        <v>2616</v>
      </c>
      <c r="C69" s="68" t="s">
        <v>2659</v>
      </c>
      <c r="D69" s="71" t="s">
        <v>2660</v>
      </c>
      <c r="E69" s="54" t="s">
        <v>2661</v>
      </c>
      <c r="F69" s="15" t="s">
        <v>2648</v>
      </c>
      <c r="H69" s="82">
        <v>2</v>
      </c>
      <c r="I69" s="1" t="s">
        <v>1639</v>
      </c>
    </row>
    <row r="70" spans="1:9" x14ac:dyDescent="0.45">
      <c r="A70" s="68" t="s">
        <v>2617</v>
      </c>
      <c r="C70" s="14" t="s">
        <v>1894</v>
      </c>
      <c r="D70" s="71" t="s">
        <v>2662</v>
      </c>
      <c r="E70" s="55" t="s">
        <v>2663</v>
      </c>
      <c r="F70" s="15" t="s">
        <v>2664</v>
      </c>
      <c r="H70" s="82">
        <v>2</v>
      </c>
      <c r="I70" s="1" t="s">
        <v>1638</v>
      </c>
    </row>
    <row r="71" spans="1:9" x14ac:dyDescent="0.45">
      <c r="A71" s="53" t="s">
        <v>4</v>
      </c>
      <c r="C71" s="55" t="s">
        <v>2665</v>
      </c>
      <c r="D71" s="68" t="s">
        <v>2666</v>
      </c>
      <c r="E71" s="15" t="s">
        <v>2667</v>
      </c>
      <c r="F71" s="54" t="s">
        <v>1971</v>
      </c>
      <c r="H71" s="82">
        <v>6</v>
      </c>
      <c r="I71" s="1" t="s">
        <v>1637</v>
      </c>
    </row>
    <row r="72" spans="1:9" x14ac:dyDescent="0.45">
      <c r="A72" s="53" t="s">
        <v>2618</v>
      </c>
      <c r="B72" s="71" t="s">
        <v>1892</v>
      </c>
      <c r="C72" s="55" t="s">
        <v>2668</v>
      </c>
      <c r="D72" s="52" t="s">
        <v>2669</v>
      </c>
      <c r="E72" s="15" t="s">
        <v>2670</v>
      </c>
      <c r="F72" s="54" t="s">
        <v>2671</v>
      </c>
      <c r="H72" s="82">
        <v>1</v>
      </c>
      <c r="I72" s="1" t="s">
        <v>479</v>
      </c>
    </row>
    <row r="73" spans="1:9" x14ac:dyDescent="0.45">
      <c r="A73" s="53" t="s">
        <v>2619</v>
      </c>
      <c r="C73" s="55" t="s">
        <v>2672</v>
      </c>
      <c r="D73" s="68" t="s">
        <v>2673</v>
      </c>
      <c r="E73" s="15" t="s">
        <v>2674</v>
      </c>
      <c r="F73" s="54" t="s">
        <v>2675</v>
      </c>
      <c r="H73" s="82">
        <v>1</v>
      </c>
      <c r="I73" s="1" t="s">
        <v>693</v>
      </c>
    </row>
    <row r="74" spans="1:9" x14ac:dyDescent="0.45">
      <c r="A74" s="53" t="s">
        <v>2620</v>
      </c>
      <c r="B74" s="71" t="s">
        <v>1892</v>
      </c>
      <c r="C74" s="55" t="s">
        <v>2676</v>
      </c>
      <c r="D74" s="68" t="s">
        <v>2677</v>
      </c>
      <c r="E74" s="15" t="s">
        <v>2678</v>
      </c>
      <c r="F74" s="54" t="s">
        <v>2679</v>
      </c>
      <c r="H74" s="82">
        <v>3</v>
      </c>
      <c r="I74" s="1" t="s">
        <v>1636</v>
      </c>
    </row>
    <row r="75" spans="1:9" x14ac:dyDescent="0.45">
      <c r="A75" s="53" t="s">
        <v>2621</v>
      </c>
      <c r="B75" s="70" t="s">
        <v>1976</v>
      </c>
      <c r="C75" s="55" t="s">
        <v>1903</v>
      </c>
      <c r="D75" s="71" t="s">
        <v>2680</v>
      </c>
      <c r="E75" s="15" t="s">
        <v>2681</v>
      </c>
      <c r="F75" s="72" t="s">
        <v>1983</v>
      </c>
      <c r="H75" s="82">
        <v>2</v>
      </c>
      <c r="I75" s="1" t="s">
        <v>1635</v>
      </c>
    </row>
    <row r="76" spans="1:9" x14ac:dyDescent="0.45">
      <c r="A76" s="53" t="s">
        <v>2622</v>
      </c>
      <c r="B76" s="55" t="s">
        <v>2676</v>
      </c>
      <c r="C76" s="71" t="s">
        <v>1892</v>
      </c>
      <c r="D76" s="52" t="s">
        <v>2682</v>
      </c>
      <c r="E76" s="15" t="s">
        <v>2683</v>
      </c>
      <c r="F76" s="54" t="s">
        <v>2684</v>
      </c>
      <c r="H76" s="82">
        <v>2</v>
      </c>
      <c r="I76" s="1" t="s">
        <v>1634</v>
      </c>
    </row>
    <row r="77" spans="1:9" x14ac:dyDescent="0.45">
      <c r="A77" s="53" t="s">
        <v>2623</v>
      </c>
      <c r="C77" s="71" t="s">
        <v>2649</v>
      </c>
      <c r="D77" s="55" t="s">
        <v>2685</v>
      </c>
      <c r="E77" s="15" t="s">
        <v>2686</v>
      </c>
      <c r="F77" s="54" t="s">
        <v>2658</v>
      </c>
      <c r="H77" s="82">
        <v>6</v>
      </c>
      <c r="I77" s="1" t="s">
        <v>1633</v>
      </c>
    </row>
    <row r="78" spans="1:9" x14ac:dyDescent="0.45">
      <c r="A78" s="53" t="s">
        <v>2624</v>
      </c>
      <c r="C78" s="55" t="s">
        <v>2687</v>
      </c>
      <c r="D78" s="68" t="s">
        <v>2688</v>
      </c>
      <c r="E78" s="15" t="s">
        <v>2689</v>
      </c>
      <c r="F78" s="54" t="s">
        <v>2105</v>
      </c>
      <c r="H78" s="82">
        <v>1</v>
      </c>
      <c r="I78" s="1" t="s">
        <v>485</v>
      </c>
    </row>
    <row r="79" spans="1:9" x14ac:dyDescent="0.45">
      <c r="A79" s="53" t="s">
        <v>2625</v>
      </c>
      <c r="C79" s="71" t="s">
        <v>2690</v>
      </c>
      <c r="D79" s="55" t="s">
        <v>2691</v>
      </c>
      <c r="E79" s="15" t="s">
        <v>2692</v>
      </c>
      <c r="F79" s="69" t="s">
        <v>1887</v>
      </c>
      <c r="G79" s="66" t="s">
        <v>1893</v>
      </c>
      <c r="H79" s="82">
        <v>1</v>
      </c>
      <c r="I79" s="1" t="s">
        <v>901</v>
      </c>
    </row>
    <row r="80" spans="1:9" x14ac:dyDescent="0.45">
      <c r="A80" s="70" t="s">
        <v>22</v>
      </c>
      <c r="C80" s="71" t="s">
        <v>2693</v>
      </c>
      <c r="D80" s="15" t="s">
        <v>2694</v>
      </c>
      <c r="E80" s="69" t="s">
        <v>2695</v>
      </c>
      <c r="H80" s="82">
        <v>25</v>
      </c>
      <c r="I80" s="1" t="s">
        <v>1632</v>
      </c>
    </row>
    <row r="81" spans="1:9" x14ac:dyDescent="0.45">
      <c r="A81" s="70" t="s">
        <v>2626</v>
      </c>
      <c r="C81" s="55" t="s">
        <v>2696</v>
      </c>
      <c r="D81" s="15" t="s">
        <v>2697</v>
      </c>
      <c r="E81" s="68" t="s">
        <v>2698</v>
      </c>
      <c r="F81" s="57" t="s">
        <v>1925</v>
      </c>
      <c r="H81" s="82">
        <v>2</v>
      </c>
      <c r="I81" s="1" t="s">
        <v>1631</v>
      </c>
    </row>
    <row r="82" spans="1:9" x14ac:dyDescent="0.45">
      <c r="A82" s="73" t="s">
        <v>111</v>
      </c>
      <c r="C82" s="51" t="s">
        <v>2699</v>
      </c>
      <c r="D82" s="15" t="s">
        <v>2700</v>
      </c>
      <c r="E82" s="53" t="s">
        <v>2701</v>
      </c>
      <c r="H82" s="82">
        <v>53</v>
      </c>
      <c r="I82" s="1" t="s">
        <v>3454</v>
      </c>
    </row>
    <row r="83" spans="1:9" x14ac:dyDescent="0.45">
      <c r="A83" s="73" t="s">
        <v>2627</v>
      </c>
      <c r="C83" s="71" t="s">
        <v>2702</v>
      </c>
      <c r="D83" s="15" t="s">
        <v>2703</v>
      </c>
      <c r="E83" s="16" t="s">
        <v>2704</v>
      </c>
      <c r="F83" s="53" t="s">
        <v>1886</v>
      </c>
      <c r="H83" s="82">
        <v>2</v>
      </c>
      <c r="I83" s="1" t="s">
        <v>1630</v>
      </c>
    </row>
    <row r="84" spans="1:9" x14ac:dyDescent="0.45">
      <c r="A84" s="73" t="s">
        <v>2628</v>
      </c>
      <c r="C84" s="54" t="s">
        <v>2705</v>
      </c>
      <c r="D84" s="15" t="s">
        <v>2706</v>
      </c>
      <c r="E84" s="71" t="s">
        <v>2707</v>
      </c>
      <c r="F84" s="73" t="s">
        <v>1993</v>
      </c>
      <c r="H84" s="82">
        <v>3</v>
      </c>
      <c r="I84" s="1" t="s">
        <v>1629</v>
      </c>
    </row>
    <row r="85" spans="1:9" x14ac:dyDescent="0.45">
      <c r="A85" s="73" t="s">
        <v>2629</v>
      </c>
      <c r="C85" s="55" t="s">
        <v>2708</v>
      </c>
      <c r="D85" s="15" t="s">
        <v>2709</v>
      </c>
      <c r="E85" s="73" t="s">
        <v>1993</v>
      </c>
      <c r="F85" s="74" t="s">
        <v>1919</v>
      </c>
      <c r="H85" s="82">
        <v>6</v>
      </c>
      <c r="I85" s="1" t="s">
        <v>1628</v>
      </c>
    </row>
    <row r="86" spans="1:9" x14ac:dyDescent="0.45">
      <c r="A86" s="73" t="s">
        <v>2630</v>
      </c>
      <c r="C86" s="69" t="s">
        <v>2710</v>
      </c>
      <c r="D86" s="15" t="s">
        <v>2711</v>
      </c>
      <c r="E86" s="55" t="s">
        <v>2712</v>
      </c>
      <c r="H86" s="82">
        <v>4</v>
      </c>
      <c r="I86" s="1" t="s">
        <v>1627</v>
      </c>
    </row>
    <row r="87" spans="1:9" x14ac:dyDescent="0.45">
      <c r="A87" s="73" t="s">
        <v>2631</v>
      </c>
      <c r="C87" s="66" t="s">
        <v>2713</v>
      </c>
      <c r="D87" s="15" t="s">
        <v>2714</v>
      </c>
      <c r="E87" s="53" t="s">
        <v>1886</v>
      </c>
      <c r="F87" s="70" t="s">
        <v>2715</v>
      </c>
      <c r="H87" s="82">
        <v>2</v>
      </c>
      <c r="I87" s="1" t="s">
        <v>1626</v>
      </c>
    </row>
    <row r="88" spans="1:9" x14ac:dyDescent="0.45">
      <c r="A88" s="73" t="s">
        <v>2632</v>
      </c>
      <c r="C88" s="55" t="s">
        <v>2716</v>
      </c>
      <c r="D88" s="15" t="s">
        <v>2717</v>
      </c>
      <c r="E88" s="68" t="s">
        <v>2718</v>
      </c>
      <c r="F88" s="57" t="s">
        <v>1925</v>
      </c>
      <c r="H88" s="82">
        <v>3</v>
      </c>
      <c r="I88" s="1" t="s">
        <v>1625</v>
      </c>
    </row>
    <row r="89" spans="1:9" x14ac:dyDescent="0.45">
      <c r="A89" s="73" t="s">
        <v>2633</v>
      </c>
      <c r="C89" s="54" t="s">
        <v>2719</v>
      </c>
      <c r="D89" s="15" t="s">
        <v>2720</v>
      </c>
      <c r="E89" s="55" t="s">
        <v>2721</v>
      </c>
      <c r="F89" s="66" t="s">
        <v>1893</v>
      </c>
      <c r="H89" s="82">
        <v>2</v>
      </c>
      <c r="I89" s="1" t="s">
        <v>1624</v>
      </c>
    </row>
    <row r="90" spans="1:9" x14ac:dyDescent="0.45">
      <c r="A90" s="51" t="s">
        <v>8</v>
      </c>
      <c r="C90" s="71" t="s">
        <v>1892</v>
      </c>
      <c r="D90" s="15" t="s">
        <v>2722</v>
      </c>
      <c r="E90" s="16" t="s">
        <v>2723</v>
      </c>
      <c r="H90" s="82">
        <v>23</v>
      </c>
      <c r="I90" s="1" t="s">
        <v>1623</v>
      </c>
    </row>
    <row r="91" spans="1:9" x14ac:dyDescent="0.45">
      <c r="A91" s="51" t="s">
        <v>2634</v>
      </c>
      <c r="C91" s="71" t="s">
        <v>2724</v>
      </c>
      <c r="D91" s="15" t="s">
        <v>2725</v>
      </c>
      <c r="E91" s="55" t="s">
        <v>2726</v>
      </c>
      <c r="H91" s="82">
        <v>1</v>
      </c>
      <c r="I91" s="1" t="s">
        <v>1433</v>
      </c>
    </row>
    <row r="92" spans="1:9" x14ac:dyDescent="0.45">
      <c r="A92" s="72" t="s">
        <v>12</v>
      </c>
      <c r="C92" s="54" t="s">
        <v>2727</v>
      </c>
      <c r="D92" s="15" t="s">
        <v>2728</v>
      </c>
      <c r="E92" s="71" t="s">
        <v>2654</v>
      </c>
      <c r="H92" s="82">
        <v>27</v>
      </c>
      <c r="I92" s="1" t="s">
        <v>3455</v>
      </c>
    </row>
    <row r="93" spans="1:9" x14ac:dyDescent="0.45">
      <c r="A93" s="72" t="s">
        <v>2635</v>
      </c>
      <c r="B93" s="70" t="s">
        <v>1976</v>
      </c>
      <c r="C93" s="55" t="s">
        <v>2729</v>
      </c>
      <c r="D93" s="15" t="s">
        <v>2730</v>
      </c>
      <c r="E93" s="71" t="s">
        <v>2654</v>
      </c>
      <c r="H93" s="82">
        <v>2</v>
      </c>
      <c r="I93" s="1" t="s">
        <v>1622</v>
      </c>
    </row>
    <row r="94" spans="1:9" x14ac:dyDescent="0.45">
      <c r="A94" s="72" t="s">
        <v>2636</v>
      </c>
      <c r="B94" s="69" t="s">
        <v>1887</v>
      </c>
      <c r="C94" s="54" t="s">
        <v>2731</v>
      </c>
      <c r="D94" s="15" t="s">
        <v>2732</v>
      </c>
      <c r="E94" s="55" t="s">
        <v>2733</v>
      </c>
      <c r="H94" s="82">
        <v>3</v>
      </c>
      <c r="I94" s="1" t="s">
        <v>1621</v>
      </c>
    </row>
    <row r="95" spans="1:9" x14ac:dyDescent="0.45">
      <c r="A95" s="72" t="s">
        <v>2637</v>
      </c>
      <c r="B95" s="74" t="s">
        <v>1919</v>
      </c>
      <c r="C95" s="54" t="s">
        <v>2734</v>
      </c>
      <c r="D95" s="15" t="s">
        <v>2735</v>
      </c>
      <c r="E95" s="71" t="s">
        <v>1892</v>
      </c>
      <c r="F95" s="73" t="s">
        <v>2736</v>
      </c>
      <c r="H95" s="82">
        <v>1</v>
      </c>
      <c r="I95" s="1" t="s">
        <v>226</v>
      </c>
    </row>
    <row r="96" spans="1:9" x14ac:dyDescent="0.45">
      <c r="A96" s="72" t="s">
        <v>2638</v>
      </c>
      <c r="B96" s="69" t="s">
        <v>1887</v>
      </c>
      <c r="C96" s="55" t="s">
        <v>2737</v>
      </c>
      <c r="D96" s="15" t="s">
        <v>2738</v>
      </c>
      <c r="E96" s="71" t="s">
        <v>2739</v>
      </c>
      <c r="F96" s="57" t="s">
        <v>1925</v>
      </c>
      <c r="H96" s="82">
        <v>3</v>
      </c>
      <c r="I96" s="1" t="s">
        <v>1620</v>
      </c>
    </row>
    <row r="97" spans="1:9" x14ac:dyDescent="0.45">
      <c r="A97" s="74" t="s">
        <v>62</v>
      </c>
      <c r="C97" s="55" t="s">
        <v>2740</v>
      </c>
      <c r="D97" s="15" t="s">
        <v>2741</v>
      </c>
      <c r="E97" s="74" t="s">
        <v>1919</v>
      </c>
      <c r="H97" s="82">
        <v>9</v>
      </c>
      <c r="I97" s="1" t="s">
        <v>2771</v>
      </c>
    </row>
    <row r="98" spans="1:9" x14ac:dyDescent="0.45">
      <c r="A98" s="74" t="s">
        <v>2639</v>
      </c>
      <c r="C98" s="69" t="s">
        <v>2742</v>
      </c>
      <c r="D98" s="15" t="s">
        <v>2743</v>
      </c>
      <c r="E98" s="74" t="s">
        <v>2744</v>
      </c>
      <c r="H98" s="82">
        <v>2</v>
      </c>
      <c r="I98" s="1" t="s">
        <v>1619</v>
      </c>
    </row>
    <row r="99" spans="1:9" x14ac:dyDescent="0.45">
      <c r="A99" s="74" t="s">
        <v>2640</v>
      </c>
      <c r="B99" s="55" t="s">
        <v>1903</v>
      </c>
      <c r="C99" s="69" t="s">
        <v>2745</v>
      </c>
      <c r="D99" s="15" t="s">
        <v>2746</v>
      </c>
      <c r="E99" s="68" t="s">
        <v>2747</v>
      </c>
      <c r="F99" s="57" t="s">
        <v>1925</v>
      </c>
      <c r="H99" s="82">
        <v>2</v>
      </c>
      <c r="I99" s="1" t="s">
        <v>1618</v>
      </c>
    </row>
    <row r="100" spans="1:9" x14ac:dyDescent="0.45">
      <c r="A100" s="74" t="s">
        <v>2641</v>
      </c>
      <c r="B100" s="53" t="s">
        <v>1886</v>
      </c>
      <c r="C100" s="54" t="s">
        <v>2748</v>
      </c>
      <c r="D100" s="15" t="s">
        <v>2749</v>
      </c>
      <c r="E100" s="69" t="s">
        <v>2750</v>
      </c>
      <c r="F100" s="66" t="s">
        <v>1893</v>
      </c>
      <c r="H100" s="82">
        <v>1</v>
      </c>
      <c r="I100" s="1" t="s">
        <v>60</v>
      </c>
    </row>
    <row r="101" spans="1:9" x14ac:dyDescent="0.45">
      <c r="A101" s="57" t="s">
        <v>18</v>
      </c>
      <c r="C101" s="69" t="s">
        <v>2751</v>
      </c>
      <c r="D101" s="15" t="s">
        <v>2752</v>
      </c>
      <c r="E101" s="55" t="s">
        <v>2753</v>
      </c>
      <c r="H101" s="82">
        <v>24</v>
      </c>
      <c r="I101" s="1" t="s">
        <v>1617</v>
      </c>
    </row>
    <row r="102" spans="1:9" x14ac:dyDescent="0.45">
      <c r="A102" s="57" t="s">
        <v>2642</v>
      </c>
      <c r="C102" s="69" t="s">
        <v>2754</v>
      </c>
      <c r="D102" s="15" t="s">
        <v>2755</v>
      </c>
      <c r="E102" s="55" t="s">
        <v>2756</v>
      </c>
      <c r="H102" s="82">
        <v>2</v>
      </c>
      <c r="I102" s="1" t="s">
        <v>1616</v>
      </c>
    </row>
    <row r="103" spans="1:9" x14ac:dyDescent="0.45">
      <c r="A103" s="57" t="s">
        <v>2643</v>
      </c>
      <c r="C103" s="54" t="s">
        <v>2757</v>
      </c>
      <c r="D103" s="15" t="s">
        <v>2758</v>
      </c>
      <c r="E103" s="57" t="s">
        <v>1925</v>
      </c>
      <c r="F103" s="55" t="s">
        <v>2759</v>
      </c>
      <c r="H103" s="82">
        <v>5</v>
      </c>
      <c r="I103" s="1" t="s">
        <v>1615</v>
      </c>
    </row>
    <row r="104" spans="1:9" x14ac:dyDescent="0.45">
      <c r="A104" s="66" t="s">
        <v>90</v>
      </c>
      <c r="C104" s="74" t="s">
        <v>2760</v>
      </c>
      <c r="D104" s="15" t="s">
        <v>2761</v>
      </c>
      <c r="E104" s="70" t="s">
        <v>2762</v>
      </c>
      <c r="H104" s="82">
        <v>7</v>
      </c>
      <c r="I104" s="1" t="s">
        <v>3456</v>
      </c>
    </row>
    <row r="105" spans="1:9" x14ac:dyDescent="0.45">
      <c r="A105" s="66" t="s">
        <v>2644</v>
      </c>
      <c r="B105" s="14" t="s">
        <v>1894</v>
      </c>
      <c r="C105" s="55" t="s">
        <v>2763</v>
      </c>
      <c r="D105" s="15" t="s">
        <v>2755</v>
      </c>
      <c r="E105" s="68" t="s">
        <v>2764</v>
      </c>
      <c r="F105" s="57" t="s">
        <v>1925</v>
      </c>
      <c r="H105" s="82">
        <v>3</v>
      </c>
      <c r="I105" s="1" t="s">
        <v>1614</v>
      </c>
    </row>
    <row r="106" spans="1:9" x14ac:dyDescent="0.45">
      <c r="A106" s="67" t="s">
        <v>78</v>
      </c>
      <c r="C106" s="55" t="s">
        <v>2765</v>
      </c>
      <c r="D106" s="15" t="s">
        <v>2766</v>
      </c>
      <c r="E106" s="68" t="s">
        <v>2645</v>
      </c>
      <c r="F106" s="57" t="s">
        <v>1925</v>
      </c>
      <c r="H106" s="82">
        <v>9</v>
      </c>
      <c r="I106" s="1" t="s">
        <v>1613</v>
      </c>
    </row>
    <row r="107" spans="1:9" x14ac:dyDescent="0.45">
      <c r="A107" s="14" t="s">
        <v>61</v>
      </c>
      <c r="C107" s="54" t="s">
        <v>2767</v>
      </c>
      <c r="D107" s="15" t="s">
        <v>2768</v>
      </c>
      <c r="E107" s="55" t="s">
        <v>2769</v>
      </c>
      <c r="F107" s="66" t="s">
        <v>1893</v>
      </c>
      <c r="H107" s="82">
        <v>6</v>
      </c>
      <c r="I107" s="1" t="s">
        <v>1612</v>
      </c>
    </row>
  </sheetData>
  <sortState columnSort="1" ref="K107:P107">
    <sortCondition ref="K107"/>
  </sortState>
  <phoneticPr fontId="3"/>
  <pageMargins left="0.7" right="0.7" top="0.75" bottom="0.75" header="0.3" footer="0.3"/>
  <pageSetup paperSize="9"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32"/>
    <col min="2" max="16384" width="3" style="1"/>
  </cols>
  <sheetData>
    <row r="1" spans="1:4" x14ac:dyDescent="0.45">
      <c r="A1" s="232" t="s">
        <v>2581</v>
      </c>
      <c r="B1" s="1" t="s">
        <v>3537</v>
      </c>
    </row>
    <row r="2" spans="1:4" x14ac:dyDescent="0.45">
      <c r="A2" s="232" t="s">
        <v>3133</v>
      </c>
      <c r="B2" s="1" t="s">
        <v>3134</v>
      </c>
    </row>
    <row r="3" spans="1:4" x14ac:dyDescent="0.45">
      <c r="B3" s="1" t="s">
        <v>3132</v>
      </c>
    </row>
    <row r="5" spans="1:4" x14ac:dyDescent="0.45">
      <c r="B5" s="1" t="s">
        <v>2583</v>
      </c>
    </row>
    <row r="7" spans="1:4" x14ac:dyDescent="0.45">
      <c r="A7" s="232" t="s">
        <v>3133</v>
      </c>
      <c r="B7" s="1" t="s">
        <v>3136</v>
      </c>
    </row>
    <row r="8" spans="1:4" x14ac:dyDescent="0.45">
      <c r="B8" s="1" t="s">
        <v>3135</v>
      </c>
    </row>
    <row r="10" spans="1:4" x14ac:dyDescent="0.45">
      <c r="B10" s="1" t="s">
        <v>3109</v>
      </c>
    </row>
    <row r="13" spans="1:4" x14ac:dyDescent="0.45">
      <c r="B13" s="1" t="s">
        <v>3535</v>
      </c>
    </row>
    <row r="15" spans="1:4" s="229" customFormat="1" x14ac:dyDescent="0.45">
      <c r="A15" s="230" t="s">
        <v>1681</v>
      </c>
      <c r="B15" s="229" t="s">
        <v>1685</v>
      </c>
    </row>
    <row r="16" spans="1:4" s="229" customFormat="1" x14ac:dyDescent="0.45">
      <c r="A16" s="230"/>
      <c r="B16" s="229" t="s">
        <v>1611</v>
      </c>
      <c r="D16" s="229" t="s">
        <v>1684</v>
      </c>
    </row>
    <row r="17" spans="1:5" s="229" customFormat="1" x14ac:dyDescent="0.45">
      <c r="A17" s="230"/>
      <c r="E17" s="229" t="s">
        <v>1797</v>
      </c>
    </row>
    <row r="18" spans="1:5" s="229" customFormat="1" x14ac:dyDescent="0.45">
      <c r="A18" s="230"/>
      <c r="E18" s="229" t="s">
        <v>1796</v>
      </c>
    </row>
    <row r="19" spans="1:5" s="229" customFormat="1" x14ac:dyDescent="0.45">
      <c r="A19" s="230"/>
      <c r="E19" s="229" t="s">
        <v>1795</v>
      </c>
    </row>
    <row r="20" spans="1:5" s="229" customFormat="1" x14ac:dyDescent="0.45">
      <c r="A20" s="230"/>
      <c r="B20" s="229" t="s">
        <v>1798</v>
      </c>
    </row>
    <row r="21" spans="1:5" s="229" customFormat="1" x14ac:dyDescent="0.45">
      <c r="A21" s="230"/>
      <c r="D21" s="229" t="s">
        <v>1683</v>
      </c>
    </row>
    <row r="22" spans="1:5" s="229" customFormat="1" x14ac:dyDescent="0.45">
      <c r="A22" s="230"/>
      <c r="E22" s="229" t="s">
        <v>1682</v>
      </c>
    </row>
    <row r="23" spans="1:5" s="229" customFormat="1" x14ac:dyDescent="0.45">
      <c r="A23" s="230"/>
      <c r="B23" s="229" t="s">
        <v>3525</v>
      </c>
    </row>
    <row r="24" spans="1:5" s="229" customFormat="1" x14ac:dyDescent="0.45">
      <c r="A24" s="230"/>
    </row>
    <row r="25" spans="1:5" s="229" customFormat="1" x14ac:dyDescent="0.45">
      <c r="A25" s="230"/>
      <c r="B25" s="229" t="s">
        <v>1885</v>
      </c>
      <c r="D25" s="229" t="s">
        <v>3522</v>
      </c>
    </row>
    <row r="26" spans="1:5" s="229" customFormat="1" x14ac:dyDescent="0.45">
      <c r="A26" s="230"/>
    </row>
    <row r="27" spans="1:5" s="229" customFormat="1" x14ac:dyDescent="0.45">
      <c r="A27" s="230"/>
    </row>
    <row r="28" spans="1:5" s="229" customFormat="1" x14ac:dyDescent="0.45">
      <c r="A28" s="230"/>
      <c r="B28" s="229" t="s">
        <v>3521</v>
      </c>
    </row>
    <row r="29" spans="1:5" s="229" customFormat="1" x14ac:dyDescent="0.45">
      <c r="A29" s="230"/>
      <c r="E29" s="229" t="s">
        <v>3520</v>
      </c>
    </row>
    <row r="30" spans="1:5" s="229" customFormat="1" x14ac:dyDescent="0.45">
      <c r="A30" s="230"/>
      <c r="E30" s="229" t="s">
        <v>3506</v>
      </c>
    </row>
    <row r="32" spans="1:5" x14ac:dyDescent="0.45">
      <c r="B32" s="1" t="s">
        <v>2543</v>
      </c>
      <c r="D32" s="1" t="s">
        <v>2544</v>
      </c>
    </row>
    <row r="33" spans="1:5" x14ac:dyDescent="0.45">
      <c r="E33" s="1" t="s">
        <v>2545</v>
      </c>
    </row>
    <row r="34" spans="1:5" x14ac:dyDescent="0.45">
      <c r="D34" s="1" t="s">
        <v>3519</v>
      </c>
    </row>
    <row r="36" spans="1:5" x14ac:dyDescent="0.45">
      <c r="B36" s="1" t="s">
        <v>3735</v>
      </c>
    </row>
    <row r="38" spans="1:5" x14ac:dyDescent="0.45">
      <c r="A38" s="232" t="s">
        <v>2526</v>
      </c>
      <c r="B38" s="1" t="s">
        <v>3110</v>
      </c>
    </row>
    <row r="39" spans="1:5" x14ac:dyDescent="0.45">
      <c r="B39" s="1" t="s">
        <v>2812</v>
      </c>
    </row>
    <row r="41" spans="1:5" x14ac:dyDescent="0.45">
      <c r="B41" s="1" t="s">
        <v>2527</v>
      </c>
    </row>
    <row r="43" spans="1:5" x14ac:dyDescent="0.45">
      <c r="B43" s="1" t="s">
        <v>3736</v>
      </c>
    </row>
    <row r="45" spans="1:5" x14ac:dyDescent="0.45">
      <c r="B45" s="1" t="s">
        <v>3116</v>
      </c>
    </row>
    <row r="47" spans="1:5" x14ac:dyDescent="0.45">
      <c r="B47" s="1" t="s">
        <v>3128</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Guid"/>
  <dimension ref="A1:BN450"/>
  <sheetViews>
    <sheetView zoomScale="90" zoomScaleNormal="90" workbookViewId="0"/>
  </sheetViews>
  <sheetFormatPr defaultColWidth="2.88671875" defaultRowHeight="16.5" x14ac:dyDescent="0.45"/>
  <cols>
    <col min="1" max="1" width="2.88671875" style="230"/>
    <col min="2" max="16384" width="2.88671875" style="229"/>
  </cols>
  <sheetData>
    <row r="1" spans="1:3" ht="19.5" x14ac:dyDescent="0.45">
      <c r="A1" s="485" t="s">
        <v>3700</v>
      </c>
    </row>
    <row r="3" spans="1:3" x14ac:dyDescent="0.45">
      <c r="A3" s="230" t="s">
        <v>1687</v>
      </c>
      <c r="B3" s="229" t="s">
        <v>1686</v>
      </c>
    </row>
    <row r="4" spans="1:3" x14ac:dyDescent="0.45">
      <c r="B4" s="229" t="s">
        <v>3570</v>
      </c>
    </row>
    <row r="5" spans="1:3" x14ac:dyDescent="0.45">
      <c r="B5" s="229" t="s">
        <v>1716</v>
      </c>
    </row>
    <row r="6" spans="1:3" x14ac:dyDescent="0.45">
      <c r="B6" s="229" t="s">
        <v>3571</v>
      </c>
    </row>
    <row r="8" spans="1:3" x14ac:dyDescent="0.45">
      <c r="A8" s="230" t="s">
        <v>2867</v>
      </c>
      <c r="B8" s="229" t="s">
        <v>3548</v>
      </c>
    </row>
    <row r="9" spans="1:3" x14ac:dyDescent="0.45">
      <c r="B9" s="229" t="s">
        <v>3572</v>
      </c>
    </row>
    <row r="11" spans="1:3" x14ac:dyDescent="0.45">
      <c r="A11" s="230" t="s">
        <v>2902</v>
      </c>
      <c r="B11" s="229" t="s">
        <v>2903</v>
      </c>
    </row>
    <row r="12" spans="1:3" x14ac:dyDescent="0.45">
      <c r="B12" s="230" t="s">
        <v>2904</v>
      </c>
      <c r="C12" s="229" t="s">
        <v>3107</v>
      </c>
    </row>
    <row r="13" spans="1:3" x14ac:dyDescent="0.45">
      <c r="B13" s="230" t="s">
        <v>2904</v>
      </c>
      <c r="C13" s="229" t="s">
        <v>3703</v>
      </c>
    </row>
    <row r="14" spans="1:3" x14ac:dyDescent="0.45">
      <c r="B14" s="230" t="s">
        <v>2904</v>
      </c>
      <c r="C14" s="229" t="s">
        <v>3420</v>
      </c>
    </row>
    <row r="15" spans="1:3" x14ac:dyDescent="0.45">
      <c r="B15" s="230" t="s">
        <v>1694</v>
      </c>
      <c r="C15" s="229" t="s">
        <v>2901</v>
      </c>
    </row>
    <row r="16" spans="1:3" x14ac:dyDescent="0.45">
      <c r="B16" s="230" t="s">
        <v>1694</v>
      </c>
      <c r="C16" s="229" t="s">
        <v>3106</v>
      </c>
    </row>
    <row r="17" spans="1:5" x14ac:dyDescent="0.45">
      <c r="C17" s="229" t="s">
        <v>2967</v>
      </c>
    </row>
    <row r="18" spans="1:5" x14ac:dyDescent="0.45">
      <c r="C18" s="229" t="s">
        <v>2968</v>
      </c>
    </row>
    <row r="20" spans="1:5" x14ac:dyDescent="0.45">
      <c r="A20" s="230" t="s">
        <v>2867</v>
      </c>
      <c r="B20" s="229" t="s">
        <v>2868</v>
      </c>
    </row>
    <row r="21" spans="1:5" x14ac:dyDescent="0.45">
      <c r="A21" s="230" t="s">
        <v>3699</v>
      </c>
      <c r="B21" s="229" t="s">
        <v>2986</v>
      </c>
    </row>
    <row r="22" spans="1:5" x14ac:dyDescent="0.45">
      <c r="B22" s="229" t="s">
        <v>2869</v>
      </c>
      <c r="E22" s="229" t="s">
        <v>2890</v>
      </c>
    </row>
    <row r="23" spans="1:5" x14ac:dyDescent="0.45">
      <c r="B23" s="229" t="s">
        <v>2870</v>
      </c>
      <c r="E23" s="229" t="s">
        <v>2983</v>
      </c>
    </row>
    <row r="24" spans="1:5" x14ac:dyDescent="0.45">
      <c r="B24" s="229" t="s">
        <v>2871</v>
      </c>
      <c r="E24" s="229" t="s">
        <v>2888</v>
      </c>
    </row>
    <row r="25" spans="1:5" x14ac:dyDescent="0.45">
      <c r="B25" s="229" t="s">
        <v>2872</v>
      </c>
      <c r="E25" s="229" t="s">
        <v>2886</v>
      </c>
    </row>
    <row r="26" spans="1:5" x14ac:dyDescent="0.45">
      <c r="B26" s="229" t="s">
        <v>2873</v>
      </c>
      <c r="E26" s="229" t="s">
        <v>2887</v>
      </c>
    </row>
    <row r="27" spans="1:5" x14ac:dyDescent="0.45">
      <c r="A27" s="230" t="s">
        <v>3699</v>
      </c>
      <c r="B27" s="229" t="s">
        <v>2987</v>
      </c>
    </row>
    <row r="28" spans="1:5" x14ac:dyDescent="0.45">
      <c r="B28" s="229" t="s">
        <v>2874</v>
      </c>
      <c r="E28" s="229" t="s">
        <v>2984</v>
      </c>
    </row>
    <row r="29" spans="1:5" x14ac:dyDescent="0.45">
      <c r="B29" s="229" t="s">
        <v>2875</v>
      </c>
      <c r="E29" s="229" t="s">
        <v>2985</v>
      </c>
    </row>
    <row r="30" spans="1:5" x14ac:dyDescent="0.45">
      <c r="B30" s="229" t="s">
        <v>2876</v>
      </c>
      <c r="E30" s="229" t="s">
        <v>3013</v>
      </c>
    </row>
    <row r="31" spans="1:5" x14ac:dyDescent="0.45">
      <c r="B31" s="229" t="s">
        <v>2877</v>
      </c>
      <c r="E31" s="229" t="s">
        <v>3011</v>
      </c>
    </row>
    <row r="32" spans="1:5" x14ac:dyDescent="0.45">
      <c r="E32" s="229" t="s">
        <v>3012</v>
      </c>
    </row>
    <row r="33" spans="1:5" x14ac:dyDescent="0.45">
      <c r="B33" s="229" t="s">
        <v>2878</v>
      </c>
      <c r="E33" s="229" t="s">
        <v>2889</v>
      </c>
    </row>
    <row r="34" spans="1:5" x14ac:dyDescent="0.45">
      <c r="A34" s="230" t="s">
        <v>3699</v>
      </c>
      <c r="B34" s="229" t="s">
        <v>2988</v>
      </c>
    </row>
    <row r="35" spans="1:5" x14ac:dyDescent="0.45">
      <c r="B35" s="229" t="s">
        <v>2879</v>
      </c>
      <c r="E35" s="229" t="s">
        <v>3512</v>
      </c>
    </row>
    <row r="36" spans="1:5" x14ac:dyDescent="0.45">
      <c r="B36" s="229" t="s">
        <v>2880</v>
      </c>
      <c r="E36" s="229" t="s">
        <v>3421</v>
      </c>
    </row>
    <row r="37" spans="1:5" x14ac:dyDescent="0.45">
      <c r="B37" s="229" t="s">
        <v>2881</v>
      </c>
      <c r="E37" s="229" t="s">
        <v>3014</v>
      </c>
    </row>
    <row r="38" spans="1:5" x14ac:dyDescent="0.45">
      <c r="B38" s="229" t="s">
        <v>2882</v>
      </c>
      <c r="E38" s="229" t="s">
        <v>2989</v>
      </c>
    </row>
    <row r="39" spans="1:5" x14ac:dyDescent="0.45">
      <c r="A39" s="230" t="s">
        <v>3699</v>
      </c>
      <c r="B39" s="229" t="s">
        <v>3129</v>
      </c>
    </row>
    <row r="40" spans="1:5" x14ac:dyDescent="0.45">
      <c r="B40" s="229" t="s">
        <v>2883</v>
      </c>
      <c r="E40" s="229" t="s">
        <v>2891</v>
      </c>
    </row>
    <row r="41" spans="1:5" x14ac:dyDescent="0.45">
      <c r="B41" s="229" t="s">
        <v>2884</v>
      </c>
      <c r="E41" s="229" t="s">
        <v>2892</v>
      </c>
    </row>
    <row r="42" spans="1:5" x14ac:dyDescent="0.45">
      <c r="B42" s="229" t="s">
        <v>2885</v>
      </c>
      <c r="E42" s="229" t="s">
        <v>2895</v>
      </c>
    </row>
    <row r="43" spans="1:5" x14ac:dyDescent="0.45">
      <c r="B43" s="229" t="s">
        <v>3130</v>
      </c>
      <c r="E43" s="229" t="s">
        <v>3131</v>
      </c>
    </row>
    <row r="45" spans="1:5" x14ac:dyDescent="0.45">
      <c r="A45" s="230" t="s">
        <v>2896</v>
      </c>
      <c r="B45" s="229" t="s">
        <v>2897</v>
      </c>
    </row>
    <row r="46" spans="1:5" x14ac:dyDescent="0.45">
      <c r="B46" s="229" t="s">
        <v>3574</v>
      </c>
    </row>
    <row r="47" spans="1:5" x14ac:dyDescent="0.45">
      <c r="B47" s="229" t="s">
        <v>3573</v>
      </c>
    </row>
    <row r="49" spans="1:7" x14ac:dyDescent="0.45">
      <c r="A49" s="230" t="s">
        <v>3699</v>
      </c>
      <c r="B49" s="229" t="s">
        <v>2898</v>
      </c>
    </row>
    <row r="50" spans="1:7" x14ac:dyDescent="0.45">
      <c r="A50" s="230" t="s">
        <v>2920</v>
      </c>
      <c r="B50" s="229" t="s">
        <v>2922</v>
      </c>
    </row>
    <row r="51" spans="1:7" x14ac:dyDescent="0.45">
      <c r="B51" s="229" t="s">
        <v>2928</v>
      </c>
    </row>
    <row r="52" spans="1:7" x14ac:dyDescent="0.45">
      <c r="B52" s="229" t="s">
        <v>3575</v>
      </c>
    </row>
    <row r="53" spans="1:7" x14ac:dyDescent="0.45">
      <c r="B53" s="229" t="s">
        <v>3530</v>
      </c>
    </row>
    <row r="55" spans="1:7" x14ac:dyDescent="0.45">
      <c r="A55" s="230" t="s">
        <v>2920</v>
      </c>
      <c r="B55" s="229" t="s">
        <v>2921</v>
      </c>
    </row>
    <row r="56" spans="1:7" x14ac:dyDescent="0.45">
      <c r="B56" s="229" t="s">
        <v>2913</v>
      </c>
      <c r="G56" s="229" t="s">
        <v>2899</v>
      </c>
    </row>
    <row r="57" spans="1:7" x14ac:dyDescent="0.45">
      <c r="G57" s="229" t="s">
        <v>2900</v>
      </c>
    </row>
    <row r="58" spans="1:7" x14ac:dyDescent="0.45">
      <c r="B58" s="229" t="s">
        <v>2914</v>
      </c>
      <c r="G58" s="229" t="s">
        <v>2905</v>
      </c>
    </row>
    <row r="59" spans="1:7" x14ac:dyDescent="0.45">
      <c r="G59" s="229" t="s">
        <v>2906</v>
      </c>
    </row>
    <row r="61" spans="1:7" x14ac:dyDescent="0.45">
      <c r="A61" s="230" t="s">
        <v>3699</v>
      </c>
      <c r="B61" s="229" t="s">
        <v>2907</v>
      </c>
    </row>
    <row r="62" spans="1:7" x14ac:dyDescent="0.45">
      <c r="A62" s="230" t="s">
        <v>2920</v>
      </c>
      <c r="B62" s="229" t="s">
        <v>2922</v>
      </c>
    </row>
    <row r="63" spans="1:7" x14ac:dyDescent="0.45">
      <c r="B63" s="229" t="s">
        <v>3577</v>
      </c>
    </row>
    <row r="64" spans="1:7" x14ac:dyDescent="0.45">
      <c r="B64" s="229" t="s">
        <v>2951</v>
      </c>
    </row>
    <row r="65" spans="1:9" x14ac:dyDescent="0.45">
      <c r="B65" s="229" t="s">
        <v>3576</v>
      </c>
    </row>
    <row r="67" spans="1:9" x14ac:dyDescent="0.45">
      <c r="A67" s="230" t="s">
        <v>2920</v>
      </c>
      <c r="B67" s="229" t="s">
        <v>2921</v>
      </c>
    </row>
    <row r="68" spans="1:9" x14ac:dyDescent="0.45">
      <c r="B68" s="229" t="s">
        <v>2924</v>
      </c>
    </row>
    <row r="70" spans="1:9" x14ac:dyDescent="0.45">
      <c r="A70" s="230" t="s">
        <v>3699</v>
      </c>
      <c r="B70" s="229" t="s">
        <v>2908</v>
      </c>
    </row>
    <row r="71" spans="1:9" x14ac:dyDescent="0.45">
      <c r="A71" s="230" t="s">
        <v>2920</v>
      </c>
      <c r="B71" s="229" t="s">
        <v>2922</v>
      </c>
    </row>
    <row r="72" spans="1:9" x14ac:dyDescent="0.45">
      <c r="B72" s="229" t="s">
        <v>2980</v>
      </c>
    </row>
    <row r="73" spans="1:9" x14ac:dyDescent="0.45">
      <c r="B73" s="229" t="s">
        <v>3578</v>
      </c>
    </row>
    <row r="74" spans="1:9" x14ac:dyDescent="0.45">
      <c r="B74" s="229" t="s">
        <v>2926</v>
      </c>
    </row>
    <row r="75" spans="1:9" x14ac:dyDescent="0.45">
      <c r="B75" s="229" t="s">
        <v>2927</v>
      </c>
    </row>
    <row r="77" spans="1:9" x14ac:dyDescent="0.45">
      <c r="A77" s="230" t="s">
        <v>2920</v>
      </c>
      <c r="B77" s="229" t="s">
        <v>2921</v>
      </c>
    </row>
    <row r="78" spans="1:9" x14ac:dyDescent="0.45">
      <c r="B78" s="229" t="s">
        <v>2925</v>
      </c>
    </row>
    <row r="79" spans="1:9" x14ac:dyDescent="0.45">
      <c r="B79" s="229" t="s">
        <v>2909</v>
      </c>
      <c r="I79" s="229" t="s">
        <v>2910</v>
      </c>
    </row>
    <row r="80" spans="1:9" x14ac:dyDescent="0.45">
      <c r="I80" s="229" t="s">
        <v>3579</v>
      </c>
    </row>
    <row r="81" spans="1:66" x14ac:dyDescent="0.45">
      <c r="B81" s="229" t="s">
        <v>2911</v>
      </c>
      <c r="I81" s="229" t="s">
        <v>2912</v>
      </c>
    </row>
    <row r="82" spans="1:66" x14ac:dyDescent="0.45">
      <c r="B82" s="229" t="s">
        <v>2915</v>
      </c>
      <c r="I82" s="229" t="s">
        <v>2916</v>
      </c>
      <c r="BG82" s="1"/>
      <c r="BH82" s="1"/>
      <c r="BI82" s="1"/>
      <c r="BJ82" s="1"/>
      <c r="BK82" s="1"/>
      <c r="BL82" s="1"/>
      <c r="BM82" s="1"/>
      <c r="BN82" s="1"/>
    </row>
    <row r="83" spans="1:66" x14ac:dyDescent="0.45">
      <c r="B83" s="229" t="s">
        <v>2918</v>
      </c>
      <c r="I83" s="229" t="s">
        <v>2919</v>
      </c>
      <c r="BG83" s="1"/>
      <c r="BH83" s="1"/>
      <c r="BI83" s="1"/>
      <c r="BJ83" s="1"/>
      <c r="BK83" s="1"/>
      <c r="BL83" s="1"/>
      <c r="BM83" s="1"/>
      <c r="BN83" s="1"/>
    </row>
    <row r="84" spans="1:66" x14ac:dyDescent="0.45">
      <c r="I84" s="229" t="s">
        <v>3580</v>
      </c>
      <c r="BG84" s="1"/>
      <c r="BH84" s="1"/>
      <c r="BI84" s="1"/>
      <c r="BJ84" s="1"/>
      <c r="BK84" s="1"/>
      <c r="BL84" s="1"/>
      <c r="BM84" s="1"/>
      <c r="BN84" s="1"/>
    </row>
    <row r="85" spans="1:66" x14ac:dyDescent="0.45">
      <c r="B85" s="229" t="s">
        <v>3756</v>
      </c>
      <c r="I85" s="229" t="s">
        <v>3757</v>
      </c>
      <c r="BG85" s="1"/>
      <c r="BH85" s="1"/>
      <c r="BI85" s="1"/>
      <c r="BJ85" s="1"/>
      <c r="BK85" s="1"/>
      <c r="BL85" s="1"/>
      <c r="BM85" s="1"/>
      <c r="BN85" s="1"/>
    </row>
    <row r="86" spans="1:66" x14ac:dyDescent="0.45">
      <c r="BG86" s="1"/>
      <c r="BH86" s="1"/>
      <c r="BI86" s="1"/>
      <c r="BJ86" s="1"/>
      <c r="BK86" s="1"/>
      <c r="BL86" s="1"/>
      <c r="BM86" s="1"/>
      <c r="BN86" s="1"/>
    </row>
    <row r="87" spans="1:66" x14ac:dyDescent="0.45">
      <c r="A87" s="230" t="s">
        <v>2990</v>
      </c>
      <c r="B87" s="229" t="s">
        <v>2991</v>
      </c>
      <c r="BG87" s="1"/>
      <c r="BH87" s="1"/>
      <c r="BI87" s="1"/>
      <c r="BJ87" s="1"/>
      <c r="BK87" s="1"/>
      <c r="BL87" s="1"/>
      <c r="BM87" s="1"/>
      <c r="BN87" s="1"/>
    </row>
    <row r="88" spans="1:66" x14ac:dyDescent="0.45">
      <c r="B88" s="229" t="s">
        <v>2992</v>
      </c>
      <c r="K88" s="229" t="s">
        <v>2995</v>
      </c>
      <c r="BG88" s="1"/>
      <c r="BH88" s="1"/>
      <c r="BI88" s="1"/>
      <c r="BJ88" s="1"/>
      <c r="BK88" s="1"/>
      <c r="BL88" s="1"/>
      <c r="BM88" s="1"/>
      <c r="BN88" s="1"/>
    </row>
    <row r="89" spans="1:66" x14ac:dyDescent="0.45">
      <c r="B89" s="229" t="s">
        <v>2994</v>
      </c>
      <c r="K89" s="229" t="s">
        <v>2996</v>
      </c>
      <c r="BG89" s="1"/>
      <c r="BH89" s="1"/>
      <c r="BI89" s="1"/>
      <c r="BJ89" s="1"/>
      <c r="BK89" s="1"/>
      <c r="BL89" s="1"/>
      <c r="BM89" s="1"/>
      <c r="BN89" s="1"/>
    </row>
    <row r="90" spans="1:66" x14ac:dyDescent="0.45">
      <c r="B90" s="229" t="s">
        <v>2993</v>
      </c>
      <c r="K90" s="229" t="s">
        <v>2997</v>
      </c>
      <c r="BG90" s="1"/>
      <c r="BH90" s="1"/>
      <c r="BI90" s="1"/>
      <c r="BJ90" s="1"/>
      <c r="BK90" s="1"/>
      <c r="BL90" s="1"/>
      <c r="BM90" s="1"/>
      <c r="BN90" s="1"/>
    </row>
    <row r="91" spans="1:66" x14ac:dyDescent="0.45">
      <c r="B91" s="229" t="s">
        <v>3581</v>
      </c>
      <c r="BG91" s="1"/>
      <c r="BH91" s="1"/>
      <c r="BI91" s="1"/>
      <c r="BJ91" s="1"/>
      <c r="BK91" s="1"/>
      <c r="BL91" s="1"/>
      <c r="BM91" s="1"/>
      <c r="BN91" s="1"/>
    </row>
    <row r="92" spans="1:66" x14ac:dyDescent="0.45">
      <c r="B92" s="229" t="s">
        <v>3582</v>
      </c>
      <c r="BG92" s="1"/>
      <c r="BH92" s="1"/>
      <c r="BI92" s="1"/>
      <c r="BJ92" s="1"/>
      <c r="BK92" s="1"/>
      <c r="BL92" s="1"/>
      <c r="BM92" s="1"/>
      <c r="BN92" s="1"/>
    </row>
    <row r="93" spans="1:66" x14ac:dyDescent="0.45">
      <c r="BG93" s="1"/>
      <c r="BH93" s="1"/>
      <c r="BI93" s="1"/>
      <c r="BJ93" s="1"/>
      <c r="BK93" s="1"/>
      <c r="BL93" s="1"/>
      <c r="BM93" s="1"/>
      <c r="BN93" s="1"/>
    </row>
    <row r="94" spans="1:66" x14ac:dyDescent="0.45">
      <c r="A94" s="230" t="s">
        <v>3699</v>
      </c>
      <c r="B94" s="229" t="s">
        <v>2933</v>
      </c>
      <c r="BG94" s="1"/>
      <c r="BH94" s="1"/>
      <c r="BI94" s="1"/>
      <c r="BJ94" s="1"/>
      <c r="BK94" s="1"/>
      <c r="BL94" s="1"/>
      <c r="BM94" s="1"/>
      <c r="BN94" s="1"/>
    </row>
    <row r="95" spans="1:66" x14ac:dyDescent="0.45">
      <c r="A95" s="230" t="s">
        <v>2920</v>
      </c>
      <c r="B95" s="229" t="s">
        <v>2922</v>
      </c>
      <c r="BG95" s="1"/>
      <c r="BH95" s="1"/>
      <c r="BI95" s="1"/>
      <c r="BJ95" s="1"/>
      <c r="BK95" s="1"/>
      <c r="BL95" s="1"/>
      <c r="BM95" s="1"/>
      <c r="BN95" s="1"/>
    </row>
    <row r="96" spans="1:66" x14ac:dyDescent="0.45">
      <c r="B96" s="229" t="s">
        <v>3584</v>
      </c>
      <c r="BG96" s="1"/>
      <c r="BH96" s="1"/>
      <c r="BI96" s="1"/>
      <c r="BJ96" s="1"/>
      <c r="BK96" s="1"/>
      <c r="BL96" s="1"/>
      <c r="BM96" s="1"/>
      <c r="BN96" s="1"/>
    </row>
    <row r="97" spans="1:66" x14ac:dyDescent="0.45">
      <c r="B97" s="229" t="s">
        <v>3583</v>
      </c>
      <c r="BG97" s="1"/>
      <c r="BH97" s="1"/>
      <c r="BI97" s="1"/>
      <c r="BJ97" s="1"/>
      <c r="BK97" s="1"/>
      <c r="BL97" s="1"/>
      <c r="BM97" s="1"/>
      <c r="BN97" s="1"/>
    </row>
    <row r="98" spans="1:66" x14ac:dyDescent="0.45">
      <c r="B98" s="229" t="s">
        <v>2923</v>
      </c>
      <c r="BG98" s="1"/>
      <c r="BH98" s="1"/>
      <c r="BI98" s="1"/>
      <c r="BJ98" s="1"/>
      <c r="BK98" s="1"/>
      <c r="BL98" s="1"/>
      <c r="BM98" s="1"/>
      <c r="BN98" s="1"/>
    </row>
    <row r="99" spans="1:66" x14ac:dyDescent="0.45">
      <c r="B99" s="229" t="s">
        <v>3585</v>
      </c>
      <c r="BG99" s="1"/>
      <c r="BH99" s="1"/>
      <c r="BI99" s="1"/>
      <c r="BJ99" s="1"/>
      <c r="BK99" s="1"/>
      <c r="BL99" s="1"/>
      <c r="BM99" s="1"/>
      <c r="BN99" s="1"/>
    </row>
    <row r="100" spans="1:66" x14ac:dyDescent="0.45">
      <c r="B100" s="229" t="s">
        <v>2929</v>
      </c>
      <c r="BG100" s="1"/>
      <c r="BH100" s="1"/>
      <c r="BI100" s="1"/>
      <c r="BJ100" s="1"/>
      <c r="BK100" s="1"/>
      <c r="BL100" s="1"/>
      <c r="BM100" s="1"/>
      <c r="BN100" s="1"/>
    </row>
    <row r="101" spans="1:66" x14ac:dyDescent="0.45">
      <c r="B101" s="229" t="s">
        <v>3586</v>
      </c>
      <c r="BG101" s="1"/>
      <c r="BH101" s="1"/>
      <c r="BI101" s="1"/>
      <c r="BJ101" s="1"/>
      <c r="BK101" s="1"/>
      <c r="BL101" s="1"/>
      <c r="BM101" s="1"/>
      <c r="BN101" s="1"/>
    </row>
    <row r="102" spans="1:66" x14ac:dyDescent="0.45">
      <c r="B102" s="229" t="s">
        <v>2930</v>
      </c>
      <c r="BG102" s="1"/>
      <c r="BH102" s="1"/>
      <c r="BI102" s="1"/>
      <c r="BJ102" s="1"/>
      <c r="BK102" s="1"/>
      <c r="BL102" s="1"/>
      <c r="BM102" s="1"/>
      <c r="BN102" s="1"/>
    </row>
    <row r="103" spans="1:66" x14ac:dyDescent="0.45">
      <c r="BG103" s="1"/>
      <c r="BH103" s="1"/>
      <c r="BI103" s="1"/>
      <c r="BJ103" s="1"/>
      <c r="BK103" s="1"/>
      <c r="BL103" s="1"/>
      <c r="BM103" s="1"/>
      <c r="BN103" s="1"/>
    </row>
    <row r="104" spans="1:66" x14ac:dyDescent="0.45">
      <c r="A104" s="230" t="s">
        <v>2920</v>
      </c>
      <c r="B104" s="229" t="s">
        <v>2921</v>
      </c>
      <c r="BG104" s="1"/>
      <c r="BH104" s="1"/>
      <c r="BI104" s="1"/>
      <c r="BJ104" s="1"/>
      <c r="BK104" s="1"/>
      <c r="BL104" s="1"/>
      <c r="BM104" s="1"/>
      <c r="BN104" s="1"/>
    </row>
    <row r="105" spans="1:66" x14ac:dyDescent="0.45">
      <c r="B105" s="229" t="s">
        <v>2915</v>
      </c>
      <c r="G105" s="229" t="s">
        <v>2931</v>
      </c>
      <c r="BG105" s="1"/>
      <c r="BH105" s="1"/>
      <c r="BI105" s="1"/>
      <c r="BJ105" s="1"/>
      <c r="BK105" s="1"/>
      <c r="BL105" s="1"/>
      <c r="BM105" s="1"/>
      <c r="BN105" s="1"/>
    </row>
    <row r="106" spans="1:66" x14ac:dyDescent="0.45">
      <c r="G106" s="229" t="s">
        <v>2932</v>
      </c>
      <c r="BG106" s="1"/>
      <c r="BH106" s="1"/>
      <c r="BI106" s="1"/>
      <c r="BJ106" s="1"/>
      <c r="BK106" s="1"/>
      <c r="BL106" s="1"/>
      <c r="BM106" s="1"/>
      <c r="BN106" s="1"/>
    </row>
    <row r="107" spans="1:66" x14ac:dyDescent="0.45">
      <c r="BG107" s="1"/>
      <c r="BH107" s="1"/>
      <c r="BI107" s="1"/>
      <c r="BJ107" s="1"/>
      <c r="BK107" s="1"/>
      <c r="BL107" s="1"/>
      <c r="BM107" s="1"/>
      <c r="BN107" s="1"/>
    </row>
    <row r="108" spans="1:66" x14ac:dyDescent="0.45">
      <c r="A108" s="230" t="s">
        <v>3699</v>
      </c>
      <c r="B108" s="229" t="s">
        <v>2934</v>
      </c>
      <c r="BG108" s="1"/>
      <c r="BH108" s="1"/>
      <c r="BI108" s="1"/>
      <c r="BJ108" s="1"/>
      <c r="BK108" s="1"/>
      <c r="BL108" s="1"/>
      <c r="BM108" s="1"/>
      <c r="BN108" s="1"/>
    </row>
    <row r="109" spans="1:66" x14ac:dyDescent="0.45">
      <c r="A109" s="230" t="s">
        <v>2935</v>
      </c>
      <c r="B109" s="229" t="s">
        <v>2922</v>
      </c>
      <c r="BG109" s="1"/>
      <c r="BH109" s="1"/>
      <c r="BI109" s="1"/>
      <c r="BJ109" s="1"/>
      <c r="BK109" s="1"/>
      <c r="BL109" s="1"/>
      <c r="BM109" s="1"/>
      <c r="BN109" s="1"/>
    </row>
    <row r="110" spans="1:66" x14ac:dyDescent="0.45">
      <c r="B110" s="229" t="s">
        <v>3587</v>
      </c>
      <c r="BG110" s="1"/>
      <c r="BH110" s="1"/>
      <c r="BI110" s="1"/>
      <c r="BJ110" s="1"/>
      <c r="BK110" s="1"/>
      <c r="BL110" s="1"/>
      <c r="BM110" s="1"/>
      <c r="BN110" s="1"/>
    </row>
    <row r="111" spans="1:66" x14ac:dyDescent="0.45">
      <c r="B111" s="229" t="s">
        <v>3589</v>
      </c>
      <c r="BG111" s="1"/>
      <c r="BH111" s="1"/>
      <c r="BI111" s="1"/>
      <c r="BJ111" s="1"/>
      <c r="BK111" s="1"/>
      <c r="BL111" s="1"/>
      <c r="BM111" s="1"/>
      <c r="BN111" s="1"/>
    </row>
    <row r="112" spans="1:66" x14ac:dyDescent="0.45">
      <c r="B112" s="229" t="s">
        <v>3588</v>
      </c>
      <c r="BG112" s="1"/>
      <c r="BH112" s="1"/>
      <c r="BI112" s="1"/>
      <c r="BJ112" s="1"/>
      <c r="BK112" s="1"/>
      <c r="BL112" s="1"/>
      <c r="BM112" s="1"/>
      <c r="BN112" s="1"/>
    </row>
    <row r="113" spans="1:66" x14ac:dyDescent="0.45">
      <c r="BG113" s="1"/>
      <c r="BH113" s="1"/>
      <c r="BI113" s="1"/>
      <c r="BJ113" s="1"/>
      <c r="BK113" s="1"/>
      <c r="BL113" s="1"/>
      <c r="BM113" s="1"/>
      <c r="BN113" s="1"/>
    </row>
    <row r="114" spans="1:66" x14ac:dyDescent="0.45">
      <c r="A114" s="230" t="s">
        <v>2920</v>
      </c>
      <c r="B114" s="229" t="s">
        <v>3590</v>
      </c>
      <c r="BG114" s="1"/>
      <c r="BH114" s="1"/>
      <c r="BI114" s="1"/>
      <c r="BJ114" s="1"/>
      <c r="BK114" s="1"/>
      <c r="BL114" s="1"/>
      <c r="BM114" s="1"/>
      <c r="BN114" s="1"/>
    </row>
    <row r="115" spans="1:66" x14ac:dyDescent="0.45">
      <c r="B115" s="229" t="s">
        <v>3591</v>
      </c>
      <c r="BG115" s="1"/>
      <c r="BH115" s="1"/>
      <c r="BI115" s="1"/>
      <c r="BJ115" s="1"/>
      <c r="BK115" s="1"/>
      <c r="BL115" s="1"/>
      <c r="BM115" s="1"/>
      <c r="BN115" s="1"/>
    </row>
    <row r="116" spans="1:66" x14ac:dyDescent="0.45">
      <c r="B116" s="229" t="s">
        <v>2937</v>
      </c>
      <c r="G116" s="229" t="s">
        <v>2938</v>
      </c>
      <c r="BG116" s="1"/>
      <c r="BH116" s="1"/>
      <c r="BI116" s="1"/>
      <c r="BJ116" s="1"/>
      <c r="BK116" s="1"/>
      <c r="BL116" s="1"/>
      <c r="BM116" s="1"/>
      <c r="BN116" s="1"/>
    </row>
    <row r="117" spans="1:66" x14ac:dyDescent="0.45">
      <c r="B117" s="229" t="s">
        <v>2939</v>
      </c>
      <c r="G117" s="229" t="s">
        <v>2960</v>
      </c>
      <c r="BG117" s="1"/>
      <c r="BH117" s="1"/>
      <c r="BI117" s="1"/>
      <c r="BJ117" s="1"/>
      <c r="BK117" s="1"/>
      <c r="BL117" s="1"/>
      <c r="BM117" s="1"/>
      <c r="BN117" s="1"/>
    </row>
    <row r="118" spans="1:66" x14ac:dyDescent="0.45">
      <c r="G118" s="229" t="s">
        <v>2940</v>
      </c>
      <c r="L118" s="229" t="s">
        <v>2942</v>
      </c>
      <c r="BG118" s="1"/>
      <c r="BH118" s="1"/>
      <c r="BI118" s="1"/>
      <c r="BJ118" s="1"/>
      <c r="BK118" s="1"/>
      <c r="BL118" s="1"/>
      <c r="BM118" s="1"/>
      <c r="BN118" s="1"/>
    </row>
    <row r="119" spans="1:66" x14ac:dyDescent="0.45">
      <c r="L119" s="229" t="s">
        <v>2943</v>
      </c>
      <c r="BG119" s="1"/>
      <c r="BH119" s="1"/>
      <c r="BI119" s="1"/>
      <c r="BJ119" s="1"/>
      <c r="BK119" s="1"/>
      <c r="BL119" s="1"/>
      <c r="BM119" s="1"/>
      <c r="BN119" s="1"/>
    </row>
    <row r="120" spans="1:66" x14ac:dyDescent="0.45">
      <c r="G120" s="229" t="s">
        <v>2941</v>
      </c>
      <c r="L120" s="229" t="s">
        <v>2959</v>
      </c>
      <c r="BG120" s="1"/>
      <c r="BH120" s="1"/>
      <c r="BI120" s="1"/>
      <c r="BJ120" s="1"/>
      <c r="BK120" s="1"/>
      <c r="BL120" s="1"/>
      <c r="BM120" s="1"/>
      <c r="BN120" s="1"/>
    </row>
    <row r="121" spans="1:66" x14ac:dyDescent="0.45">
      <c r="L121" s="229" t="s">
        <v>2944</v>
      </c>
      <c r="BG121" s="1"/>
      <c r="BH121" s="1"/>
      <c r="BI121" s="1"/>
      <c r="BJ121" s="1"/>
      <c r="BK121" s="1"/>
      <c r="BL121" s="1"/>
      <c r="BM121" s="1"/>
      <c r="BN121" s="1"/>
    </row>
    <row r="122" spans="1:66" x14ac:dyDescent="0.45">
      <c r="L122" s="229" t="s">
        <v>2945</v>
      </c>
      <c r="BG122" s="1"/>
      <c r="BH122" s="1"/>
      <c r="BI122" s="1"/>
      <c r="BJ122" s="1"/>
      <c r="BK122" s="1"/>
      <c r="BL122" s="1"/>
      <c r="BM122" s="1"/>
      <c r="BN122" s="1"/>
    </row>
    <row r="123" spans="1:66" x14ac:dyDescent="0.45">
      <c r="G123" s="229" t="s">
        <v>3592</v>
      </c>
      <c r="BG123" s="1"/>
      <c r="BH123" s="1"/>
      <c r="BI123" s="1"/>
      <c r="BJ123" s="1"/>
      <c r="BK123" s="1"/>
      <c r="BL123" s="1"/>
      <c r="BM123" s="1"/>
      <c r="BN123" s="1"/>
    </row>
    <row r="124" spans="1:66" x14ac:dyDescent="0.45">
      <c r="G124" s="229" t="s">
        <v>3593</v>
      </c>
      <c r="BG124" s="1"/>
      <c r="BH124" s="1"/>
      <c r="BI124" s="1"/>
      <c r="BJ124" s="1"/>
      <c r="BK124" s="1"/>
      <c r="BL124" s="1"/>
      <c r="BM124" s="1"/>
      <c r="BN124" s="1"/>
    </row>
    <row r="125" spans="1:66" x14ac:dyDescent="0.45">
      <c r="B125" s="229" t="s">
        <v>2947</v>
      </c>
      <c r="G125" s="229" t="s">
        <v>3594</v>
      </c>
      <c r="BG125" s="1"/>
      <c r="BH125" s="1"/>
      <c r="BI125" s="1"/>
      <c r="BJ125" s="1"/>
      <c r="BK125" s="1"/>
      <c r="BL125" s="1"/>
      <c r="BM125" s="1"/>
      <c r="BN125" s="1"/>
    </row>
    <row r="126" spans="1:66" x14ac:dyDescent="0.45">
      <c r="G126" s="229" t="s">
        <v>3595</v>
      </c>
      <c r="BG126" s="1"/>
      <c r="BH126" s="1"/>
      <c r="BI126" s="1"/>
      <c r="BJ126" s="1"/>
      <c r="BK126" s="1"/>
      <c r="BL126" s="1"/>
      <c r="BM126" s="1"/>
      <c r="BN126" s="1"/>
    </row>
    <row r="127" spans="1:66" x14ac:dyDescent="0.45">
      <c r="G127" s="229" t="s">
        <v>3596</v>
      </c>
      <c r="BG127" s="1"/>
      <c r="BH127" s="1"/>
      <c r="BI127" s="1"/>
      <c r="BJ127" s="1"/>
      <c r="BK127" s="1"/>
      <c r="BL127" s="1"/>
      <c r="BM127" s="1"/>
      <c r="BN127" s="1"/>
    </row>
    <row r="128" spans="1:66" x14ac:dyDescent="0.45">
      <c r="G128" s="229" t="s">
        <v>3597</v>
      </c>
      <c r="BG128" s="1"/>
      <c r="BH128" s="1"/>
      <c r="BI128" s="1"/>
      <c r="BJ128" s="1"/>
      <c r="BK128" s="1"/>
      <c r="BL128" s="1"/>
      <c r="BM128" s="1"/>
      <c r="BN128" s="1"/>
    </row>
    <row r="129" spans="1:66" x14ac:dyDescent="0.45">
      <c r="B129" s="229" t="s">
        <v>2948</v>
      </c>
      <c r="G129" s="229" t="s">
        <v>3598</v>
      </c>
      <c r="BG129" s="1"/>
      <c r="BH129" s="1"/>
      <c r="BI129" s="1"/>
      <c r="BJ129" s="1"/>
      <c r="BK129" s="1"/>
      <c r="BL129" s="1"/>
      <c r="BM129" s="1"/>
      <c r="BN129" s="1"/>
    </row>
    <row r="130" spans="1:66" x14ac:dyDescent="0.45">
      <c r="G130" s="229" t="s">
        <v>3599</v>
      </c>
      <c r="BG130" s="1"/>
      <c r="BH130" s="1"/>
      <c r="BI130" s="1"/>
      <c r="BJ130" s="1"/>
      <c r="BK130" s="1"/>
      <c r="BL130" s="1"/>
      <c r="BM130" s="1"/>
      <c r="BN130" s="1"/>
    </row>
    <row r="131" spans="1:66" x14ac:dyDescent="0.45">
      <c r="G131" s="229" t="s">
        <v>2949</v>
      </c>
      <c r="BG131" s="1"/>
      <c r="BH131" s="1"/>
      <c r="BI131" s="1"/>
      <c r="BJ131" s="1"/>
      <c r="BK131" s="1"/>
      <c r="BL131" s="1"/>
      <c r="BM131" s="1"/>
      <c r="BN131" s="1"/>
    </row>
    <row r="132" spans="1:66" x14ac:dyDescent="0.45">
      <c r="G132" s="229" t="s">
        <v>2950</v>
      </c>
      <c r="BG132" s="1"/>
      <c r="BH132" s="1"/>
      <c r="BI132" s="1"/>
      <c r="BJ132" s="1"/>
      <c r="BK132" s="1"/>
      <c r="BL132" s="1"/>
      <c r="BM132" s="1"/>
      <c r="BN132" s="1"/>
    </row>
    <row r="133" spans="1:66" x14ac:dyDescent="0.45">
      <c r="G133" s="229" t="s">
        <v>3600</v>
      </c>
      <c r="BG133" s="1"/>
      <c r="BH133" s="1"/>
      <c r="BI133" s="1"/>
      <c r="BJ133" s="1"/>
      <c r="BK133" s="1"/>
      <c r="BL133" s="1"/>
      <c r="BM133" s="1"/>
      <c r="BN133" s="1"/>
    </row>
    <row r="134" spans="1:66" x14ac:dyDescent="0.45">
      <c r="G134" s="229" t="s">
        <v>3601</v>
      </c>
      <c r="BG134" s="1"/>
      <c r="BH134" s="1"/>
      <c r="BI134" s="1"/>
      <c r="BJ134" s="1"/>
      <c r="BK134" s="1"/>
      <c r="BL134" s="1"/>
      <c r="BM134" s="1"/>
      <c r="BN134" s="1"/>
    </row>
    <row r="135" spans="1:66" x14ac:dyDescent="0.45">
      <c r="B135" s="229" t="s">
        <v>2952</v>
      </c>
      <c r="G135" s="229" t="s">
        <v>2953</v>
      </c>
      <c r="BG135" s="1"/>
      <c r="BH135" s="1"/>
      <c r="BI135" s="1"/>
      <c r="BJ135" s="1"/>
      <c r="BK135" s="1"/>
      <c r="BL135" s="1"/>
      <c r="BM135" s="1"/>
      <c r="BN135" s="1"/>
    </row>
    <row r="136" spans="1:66" x14ac:dyDescent="0.45">
      <c r="G136" s="229" t="s">
        <v>2954</v>
      </c>
      <c r="BG136" s="1"/>
      <c r="BH136" s="1"/>
      <c r="BI136" s="1"/>
      <c r="BJ136" s="1"/>
      <c r="BK136" s="1"/>
      <c r="BL136" s="1"/>
      <c r="BM136" s="1"/>
      <c r="BN136" s="1"/>
    </row>
    <row r="137" spans="1:66" x14ac:dyDescent="0.45">
      <c r="G137" s="229" t="s">
        <v>3602</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30" t="s">
        <v>2955</v>
      </c>
      <c r="B139" s="229" t="s">
        <v>2956</v>
      </c>
      <c r="BG139" s="1"/>
      <c r="BH139" s="1"/>
      <c r="BI139" s="1"/>
      <c r="BJ139" s="1"/>
      <c r="BK139" s="1"/>
      <c r="BL139" s="1"/>
      <c r="BM139" s="1"/>
      <c r="BN139" s="1"/>
    </row>
    <row r="140" spans="1:66" x14ac:dyDescent="0.45">
      <c r="B140" s="229" t="s">
        <v>2958</v>
      </c>
      <c r="BG140" s="1"/>
      <c r="BH140" s="1"/>
      <c r="BI140" s="1"/>
      <c r="BJ140" s="1"/>
      <c r="BK140" s="1"/>
      <c r="BL140" s="1"/>
      <c r="BM140" s="1"/>
      <c r="BN140" s="1"/>
    </row>
    <row r="141" spans="1:66" x14ac:dyDescent="0.45">
      <c r="B141" s="229" t="s">
        <v>2957</v>
      </c>
      <c r="BG141" s="1"/>
      <c r="BH141" s="1"/>
      <c r="BI141" s="1"/>
      <c r="BJ141" s="1"/>
      <c r="BK141" s="1"/>
      <c r="BL141" s="1"/>
      <c r="BM141" s="1"/>
      <c r="BN141" s="1"/>
    </row>
    <row r="142" spans="1:66" x14ac:dyDescent="0.45">
      <c r="B142" s="229" t="s">
        <v>3603</v>
      </c>
      <c r="BG142" s="1"/>
      <c r="BH142" s="1"/>
      <c r="BI142" s="1"/>
      <c r="BJ142" s="1"/>
      <c r="BK142" s="1"/>
      <c r="BL142" s="1"/>
      <c r="BM142" s="1"/>
      <c r="BN142" s="1"/>
    </row>
    <row r="143" spans="1:66" x14ac:dyDescent="0.45">
      <c r="BG143" s="1"/>
      <c r="BH143" s="1"/>
      <c r="BI143" s="1"/>
      <c r="BJ143" s="1"/>
      <c r="BK143" s="1"/>
      <c r="BL143" s="1"/>
      <c r="BM143" s="1"/>
      <c r="BN143" s="1"/>
    </row>
    <row r="144" spans="1:66" x14ac:dyDescent="0.45">
      <c r="A144" s="230" t="s">
        <v>2955</v>
      </c>
      <c r="B144" s="229" t="s">
        <v>2977</v>
      </c>
      <c r="BG144" s="1"/>
      <c r="BH144" s="1"/>
      <c r="BI144" s="1"/>
      <c r="BJ144" s="1"/>
      <c r="BK144" s="1"/>
      <c r="BL144" s="1"/>
      <c r="BM144" s="1"/>
      <c r="BN144" s="1"/>
    </row>
    <row r="145" spans="1:66" x14ac:dyDescent="0.45">
      <c r="B145" s="229" t="s">
        <v>2974</v>
      </c>
      <c r="BG145" s="1"/>
      <c r="BH145" s="1"/>
      <c r="BI145" s="1"/>
      <c r="BJ145" s="1"/>
      <c r="BK145" s="1"/>
      <c r="BL145" s="1"/>
      <c r="BM145" s="1"/>
      <c r="BN145" s="1"/>
    </row>
    <row r="146" spans="1:66" x14ac:dyDescent="0.45">
      <c r="B146" s="229" t="s">
        <v>2961</v>
      </c>
      <c r="BG146" s="1"/>
      <c r="BH146" s="1"/>
      <c r="BI146" s="1"/>
      <c r="BJ146" s="1"/>
      <c r="BK146" s="1"/>
      <c r="BL146" s="1"/>
      <c r="BM146" s="1"/>
      <c r="BN146" s="1"/>
    </row>
    <row r="147" spans="1:66" x14ac:dyDescent="0.45">
      <c r="B147" s="229" t="s">
        <v>3604</v>
      </c>
      <c r="BG147" s="1"/>
      <c r="BH147" s="1"/>
      <c r="BI147" s="1"/>
      <c r="BJ147" s="1"/>
      <c r="BK147" s="1"/>
      <c r="BL147" s="1"/>
      <c r="BM147" s="1"/>
      <c r="BN147" s="1"/>
    </row>
    <row r="148" spans="1:66" x14ac:dyDescent="0.45">
      <c r="B148" s="229" t="s">
        <v>3605</v>
      </c>
      <c r="BG148" s="1"/>
      <c r="BH148" s="1"/>
      <c r="BI148" s="1"/>
      <c r="BJ148" s="1"/>
      <c r="BK148" s="1"/>
      <c r="BL148" s="1"/>
      <c r="BM148" s="1"/>
      <c r="BN148" s="1"/>
    </row>
    <row r="149" spans="1:66" x14ac:dyDescent="0.45">
      <c r="B149" s="229" t="s">
        <v>2981</v>
      </c>
      <c r="BG149" s="1"/>
      <c r="BH149" s="1"/>
      <c r="BI149" s="1"/>
      <c r="BJ149" s="1"/>
      <c r="BK149" s="1"/>
      <c r="BL149" s="1"/>
      <c r="BM149" s="1"/>
      <c r="BN149" s="1"/>
    </row>
    <row r="150" spans="1:66" x14ac:dyDescent="0.45">
      <c r="B150" s="229" t="s">
        <v>3606</v>
      </c>
      <c r="BG150" s="1"/>
      <c r="BH150" s="1"/>
      <c r="BI150" s="1"/>
      <c r="BJ150" s="1"/>
      <c r="BK150" s="1"/>
      <c r="BL150" s="1"/>
      <c r="BM150" s="1"/>
      <c r="BN150" s="1"/>
    </row>
    <row r="151" spans="1:66" x14ac:dyDescent="0.45">
      <c r="BG151" s="1"/>
      <c r="BH151" s="1"/>
      <c r="BI151" s="1"/>
      <c r="BJ151" s="1"/>
      <c r="BK151" s="1"/>
      <c r="BL151" s="1"/>
      <c r="BM151" s="1"/>
      <c r="BN151" s="1"/>
    </row>
    <row r="152" spans="1:66" x14ac:dyDescent="0.45">
      <c r="A152" s="230" t="s">
        <v>2962</v>
      </c>
      <c r="B152" s="229" t="s">
        <v>2936</v>
      </c>
      <c r="BG152" s="1"/>
      <c r="BH152" s="1"/>
      <c r="BI152" s="1"/>
      <c r="BJ152" s="1"/>
      <c r="BK152" s="1"/>
      <c r="BL152" s="1"/>
      <c r="BM152" s="1"/>
      <c r="BN152" s="1"/>
    </row>
    <row r="153" spans="1:66" x14ac:dyDescent="0.45">
      <c r="B153" s="229" t="s">
        <v>2971</v>
      </c>
      <c r="BG153" s="1"/>
      <c r="BH153" s="1"/>
      <c r="BI153" s="1"/>
      <c r="BJ153" s="1"/>
      <c r="BK153" s="1"/>
      <c r="BL153" s="1"/>
      <c r="BM153" s="1"/>
      <c r="BN153" s="1"/>
    </row>
    <row r="154" spans="1:66" x14ac:dyDescent="0.45">
      <c r="B154" s="229" t="s">
        <v>3607</v>
      </c>
      <c r="BG154" s="1"/>
      <c r="BH154" s="1"/>
      <c r="BI154" s="1"/>
      <c r="BJ154" s="1"/>
      <c r="BK154" s="1"/>
      <c r="BL154" s="1"/>
      <c r="BM154" s="1"/>
      <c r="BN154" s="1"/>
    </row>
    <row r="155" spans="1:66" x14ac:dyDescent="0.45">
      <c r="B155" s="230" t="s">
        <v>3511</v>
      </c>
      <c r="C155" s="229" t="s">
        <v>2966</v>
      </c>
      <c r="BG155" s="1"/>
      <c r="BH155" s="1"/>
      <c r="BI155" s="1"/>
      <c r="BJ155" s="1"/>
      <c r="BK155" s="1"/>
      <c r="BL155" s="1"/>
      <c r="BM155" s="1"/>
      <c r="BN155" s="1"/>
    </row>
    <row r="156" spans="1:66" x14ac:dyDescent="0.45">
      <c r="B156" s="230" t="s">
        <v>3511</v>
      </c>
      <c r="C156" s="229" t="s">
        <v>2964</v>
      </c>
      <c r="BG156" s="1"/>
      <c r="BH156" s="1"/>
      <c r="BI156" s="1"/>
      <c r="BJ156" s="1"/>
      <c r="BK156" s="1"/>
      <c r="BL156" s="1"/>
      <c r="BM156" s="1"/>
      <c r="BN156" s="1"/>
    </row>
    <row r="157" spans="1:66" x14ac:dyDescent="0.45">
      <c r="B157" s="230" t="s">
        <v>3511</v>
      </c>
      <c r="C157" s="229" t="s">
        <v>2965</v>
      </c>
      <c r="BG157" s="1"/>
      <c r="BH157" s="1"/>
      <c r="BI157" s="1"/>
      <c r="BJ157" s="1"/>
      <c r="BK157" s="1"/>
      <c r="BL157" s="1"/>
      <c r="BM157" s="1"/>
      <c r="BN157" s="1"/>
    </row>
    <row r="158" spans="1:66" x14ac:dyDescent="0.45">
      <c r="B158" s="229" t="s">
        <v>3608</v>
      </c>
      <c r="BG158" s="1"/>
      <c r="BH158" s="1"/>
      <c r="BI158" s="1"/>
      <c r="BJ158" s="1"/>
      <c r="BK158" s="1"/>
      <c r="BL158" s="1"/>
      <c r="BM158" s="1"/>
      <c r="BN158" s="1"/>
    </row>
    <row r="159" spans="1:66" x14ac:dyDescent="0.45">
      <c r="B159" s="229" t="s">
        <v>3609</v>
      </c>
      <c r="BG159" s="1"/>
      <c r="BH159" s="1"/>
      <c r="BI159" s="1"/>
      <c r="BJ159" s="1"/>
      <c r="BK159" s="1"/>
      <c r="BL159" s="1"/>
      <c r="BM159" s="1"/>
      <c r="BN159" s="1"/>
    </row>
    <row r="160" spans="1:66" x14ac:dyDescent="0.45">
      <c r="K160" s="230"/>
      <c r="BG160" s="1"/>
      <c r="BH160" s="1"/>
      <c r="BI160" s="1"/>
      <c r="BJ160" s="1"/>
      <c r="BK160" s="1"/>
      <c r="BL160" s="1"/>
      <c r="BM160" s="1"/>
      <c r="BN160" s="1"/>
    </row>
    <row r="161" spans="1:66" x14ac:dyDescent="0.45">
      <c r="A161" s="230" t="s">
        <v>2969</v>
      </c>
      <c r="B161" s="229" t="s">
        <v>2970</v>
      </c>
      <c r="BG161" s="1"/>
      <c r="BH161" s="1"/>
      <c r="BI161" s="1"/>
      <c r="BJ161" s="1"/>
      <c r="BK161" s="1"/>
      <c r="BL161" s="1"/>
      <c r="BM161" s="1"/>
      <c r="BN161" s="1"/>
    </row>
    <row r="162" spans="1:66" x14ac:dyDescent="0.45">
      <c r="B162" s="229" t="s">
        <v>2972</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30" t="s">
        <v>2920</v>
      </c>
      <c r="B164" s="229" t="s">
        <v>2973</v>
      </c>
      <c r="BG164" s="1"/>
      <c r="BH164" s="1"/>
      <c r="BI164" s="1"/>
      <c r="BJ164" s="1"/>
      <c r="BK164" s="1"/>
      <c r="BL164" s="1"/>
      <c r="BM164" s="1"/>
      <c r="BN164" s="1"/>
    </row>
    <row r="165" spans="1:66" x14ac:dyDescent="0.45">
      <c r="B165" s="229" t="s">
        <v>3612</v>
      </c>
      <c r="BG165" s="1"/>
      <c r="BH165" s="1"/>
      <c r="BI165" s="1"/>
      <c r="BJ165" s="1"/>
      <c r="BK165" s="1"/>
      <c r="BL165" s="1"/>
      <c r="BM165" s="1"/>
      <c r="BN165" s="1"/>
    </row>
    <row r="166" spans="1:66" x14ac:dyDescent="0.45">
      <c r="B166" s="229" t="s">
        <v>3610</v>
      </c>
      <c r="BG166" s="1"/>
      <c r="BH166" s="1"/>
      <c r="BI166" s="1"/>
      <c r="BJ166" s="1"/>
      <c r="BK166" s="1"/>
      <c r="BL166" s="1"/>
      <c r="BM166" s="1"/>
      <c r="BN166" s="1"/>
    </row>
    <row r="167" spans="1:66" x14ac:dyDescent="0.45">
      <c r="B167" s="229" t="s">
        <v>3611</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30" t="s">
        <v>2976</v>
      </c>
      <c r="B169" s="229" t="s">
        <v>2978</v>
      </c>
      <c r="BG169" s="1"/>
      <c r="BH169" s="1"/>
      <c r="BI169" s="1"/>
      <c r="BJ169" s="1"/>
      <c r="BK169" s="1"/>
      <c r="BL169" s="1"/>
      <c r="BM169" s="1"/>
      <c r="BN169" s="1"/>
    </row>
    <row r="170" spans="1:66" x14ac:dyDescent="0.45">
      <c r="B170" s="229" t="s">
        <v>3613</v>
      </c>
      <c r="BG170" s="1"/>
      <c r="BH170" s="1"/>
      <c r="BI170" s="1"/>
      <c r="BJ170" s="1"/>
      <c r="BK170" s="1"/>
      <c r="BL170" s="1"/>
      <c r="BM170" s="1"/>
      <c r="BN170" s="1"/>
    </row>
    <row r="171" spans="1:66" x14ac:dyDescent="0.45">
      <c r="B171" s="229" t="s">
        <v>3614</v>
      </c>
    </row>
    <row r="172" spans="1:66" x14ac:dyDescent="0.45">
      <c r="B172" s="229" t="s">
        <v>2975</v>
      </c>
    </row>
    <row r="173" spans="1:66" x14ac:dyDescent="0.45">
      <c r="B173" s="229" t="s">
        <v>3615</v>
      </c>
    </row>
    <row r="174" spans="1:66" x14ac:dyDescent="0.45">
      <c r="B174" s="229" t="s">
        <v>2982</v>
      </c>
    </row>
    <row r="176" spans="1:66" x14ac:dyDescent="0.45">
      <c r="A176" s="230" t="s">
        <v>3699</v>
      </c>
      <c r="B176" s="229" t="s">
        <v>2979</v>
      </c>
    </row>
    <row r="177" spans="1:66" x14ac:dyDescent="0.45">
      <c r="B177" s="229" t="s">
        <v>3616</v>
      </c>
    </row>
    <row r="178" spans="1:66" x14ac:dyDescent="0.45">
      <c r="B178" s="229" t="s">
        <v>3617</v>
      </c>
    </row>
    <row r="179" spans="1:66" x14ac:dyDescent="0.45">
      <c r="B179" s="229" t="s">
        <v>3618</v>
      </c>
    </row>
    <row r="180" spans="1:66" x14ac:dyDescent="0.45">
      <c r="B180" s="229" t="s">
        <v>3619</v>
      </c>
    </row>
    <row r="181" spans="1:66" x14ac:dyDescent="0.45">
      <c r="B181" s="229" t="s">
        <v>3620</v>
      </c>
    </row>
    <row r="183" spans="1:66" x14ac:dyDescent="0.45">
      <c r="A183" s="230" t="s">
        <v>2920</v>
      </c>
      <c r="B183" s="229" t="s">
        <v>2921</v>
      </c>
    </row>
    <row r="184" spans="1:66" x14ac:dyDescent="0.45">
      <c r="B184" s="229" t="s">
        <v>2925</v>
      </c>
    </row>
    <row r="185" spans="1:66" x14ac:dyDescent="0.45">
      <c r="B185" s="229" t="s">
        <v>331</v>
      </c>
      <c r="I185" s="229" t="s">
        <v>2910</v>
      </c>
    </row>
    <row r="186" spans="1:66" x14ac:dyDescent="0.45">
      <c r="I186" s="229" t="s">
        <v>2917</v>
      </c>
    </row>
    <row r="187" spans="1:66" x14ac:dyDescent="0.45">
      <c r="B187" s="229" t="s">
        <v>330</v>
      </c>
      <c r="I187" s="229" t="s">
        <v>2998</v>
      </c>
    </row>
    <row r="188" spans="1:66" x14ac:dyDescent="0.45">
      <c r="B188" s="229" t="s">
        <v>2999</v>
      </c>
      <c r="I188" s="229" t="s">
        <v>3000</v>
      </c>
    </row>
    <row r="189" spans="1:66" x14ac:dyDescent="0.45">
      <c r="B189" s="229" t="s">
        <v>2915</v>
      </c>
      <c r="I189" s="229" t="s">
        <v>3001</v>
      </c>
      <c r="BG189" s="1"/>
      <c r="BH189" s="1"/>
      <c r="BI189" s="1"/>
      <c r="BJ189" s="1"/>
      <c r="BK189" s="1"/>
      <c r="BL189" s="1"/>
      <c r="BM189" s="1"/>
      <c r="BN189" s="1"/>
    </row>
    <row r="190" spans="1:66" x14ac:dyDescent="0.45">
      <c r="B190" s="229" t="s">
        <v>3002</v>
      </c>
      <c r="I190" s="229" t="s">
        <v>3621</v>
      </c>
      <c r="BG190" s="1"/>
      <c r="BH190" s="1"/>
      <c r="BI190" s="1"/>
      <c r="BJ190" s="1"/>
      <c r="BK190" s="1"/>
      <c r="BL190" s="1"/>
      <c r="BM190" s="1"/>
      <c r="BN190" s="1"/>
    </row>
    <row r="191" spans="1:66" x14ac:dyDescent="0.45">
      <c r="I191" s="229" t="s">
        <v>3622</v>
      </c>
      <c r="BG191" s="1"/>
      <c r="BH191" s="1"/>
      <c r="BI191" s="1"/>
      <c r="BJ191" s="1"/>
      <c r="BK191" s="1"/>
      <c r="BL191" s="1"/>
      <c r="BM191" s="1"/>
      <c r="BN191" s="1"/>
    </row>
    <row r="192" spans="1:66" x14ac:dyDescent="0.45">
      <c r="B192" s="229" t="s">
        <v>3733</v>
      </c>
      <c r="I192" s="229" t="s">
        <v>3734</v>
      </c>
      <c r="BG192" s="1"/>
      <c r="BH192" s="1"/>
      <c r="BI192" s="1"/>
      <c r="BJ192" s="1"/>
      <c r="BK192" s="1"/>
      <c r="BL192" s="1"/>
      <c r="BM192" s="1"/>
      <c r="BN192" s="1"/>
    </row>
    <row r="193" spans="1:66" x14ac:dyDescent="0.45">
      <c r="BG193" s="1"/>
      <c r="BH193" s="1"/>
      <c r="BI193" s="1"/>
      <c r="BJ193" s="1"/>
      <c r="BK193" s="1"/>
      <c r="BL193" s="1"/>
      <c r="BM193" s="1"/>
      <c r="BN193" s="1"/>
    </row>
    <row r="194" spans="1:66" x14ac:dyDescent="0.45">
      <c r="A194" s="230" t="s">
        <v>2990</v>
      </c>
      <c r="B194" s="229" t="s">
        <v>2991</v>
      </c>
      <c r="BG194" s="1"/>
      <c r="BH194" s="1"/>
      <c r="BI194" s="1"/>
      <c r="BJ194" s="1"/>
      <c r="BK194" s="1"/>
      <c r="BL194" s="1"/>
      <c r="BM194" s="1"/>
      <c r="BN194" s="1"/>
    </row>
    <row r="195" spans="1:66" x14ac:dyDescent="0.45">
      <c r="B195" s="229" t="s">
        <v>2992</v>
      </c>
      <c r="K195" s="229" t="s">
        <v>3004</v>
      </c>
      <c r="BG195" s="1"/>
      <c r="BH195" s="1"/>
      <c r="BI195" s="1"/>
      <c r="BJ195" s="1"/>
      <c r="BK195" s="1"/>
      <c r="BL195" s="1"/>
      <c r="BM195" s="1"/>
      <c r="BN195" s="1"/>
    </row>
    <row r="196" spans="1:66" x14ac:dyDescent="0.45">
      <c r="B196" s="229" t="s">
        <v>3003</v>
      </c>
      <c r="K196" s="229" t="s">
        <v>3005</v>
      </c>
      <c r="BG196" s="1"/>
      <c r="BH196" s="1"/>
      <c r="BI196" s="1"/>
      <c r="BJ196" s="1"/>
      <c r="BK196" s="1"/>
      <c r="BL196" s="1"/>
      <c r="BM196" s="1"/>
      <c r="BN196" s="1"/>
    </row>
    <row r="197" spans="1:66" x14ac:dyDescent="0.45">
      <c r="B197" s="229" t="s">
        <v>3006</v>
      </c>
      <c r="K197" s="229" t="s">
        <v>3007</v>
      </c>
      <c r="BG197" s="1"/>
      <c r="BH197" s="1"/>
      <c r="BI197" s="1"/>
      <c r="BJ197" s="1"/>
      <c r="BK197" s="1"/>
      <c r="BL197" s="1"/>
      <c r="BM197" s="1"/>
      <c r="BN197" s="1"/>
    </row>
    <row r="198" spans="1:66" x14ac:dyDescent="0.45">
      <c r="B198" s="229" t="s">
        <v>3732</v>
      </c>
      <c r="K198" s="229" t="s">
        <v>3008</v>
      </c>
      <c r="BG198" s="1"/>
      <c r="BH198" s="1"/>
      <c r="BI198" s="1"/>
      <c r="BJ198" s="1"/>
      <c r="BK198" s="1"/>
      <c r="BL198" s="1"/>
      <c r="BM198" s="1"/>
      <c r="BN198" s="1"/>
    </row>
    <row r="199" spans="1:66" x14ac:dyDescent="0.45">
      <c r="B199" s="229" t="s">
        <v>3009</v>
      </c>
      <c r="K199" s="229" t="s">
        <v>2997</v>
      </c>
      <c r="BG199" s="1"/>
      <c r="BH199" s="1"/>
      <c r="BI199" s="1"/>
      <c r="BJ199" s="1"/>
      <c r="BK199" s="1"/>
      <c r="BL199" s="1"/>
      <c r="BM199" s="1"/>
      <c r="BN199" s="1"/>
    </row>
    <row r="200" spans="1:66" x14ac:dyDescent="0.45">
      <c r="B200" s="229" t="s">
        <v>3731</v>
      </c>
      <c r="BG200" s="1"/>
      <c r="BH200" s="1"/>
      <c r="BI200" s="1"/>
      <c r="BJ200" s="1"/>
      <c r="BK200" s="1"/>
      <c r="BL200" s="1"/>
      <c r="BM200" s="1"/>
      <c r="BN200" s="1"/>
    </row>
    <row r="201" spans="1:66" x14ac:dyDescent="0.45">
      <c r="BG201" s="1"/>
      <c r="BH201" s="1"/>
      <c r="BI201" s="1"/>
      <c r="BJ201" s="1"/>
      <c r="BK201" s="1"/>
      <c r="BL201" s="1"/>
      <c r="BM201" s="1"/>
      <c r="BN201" s="1"/>
    </row>
    <row r="202" spans="1:66" x14ac:dyDescent="0.45">
      <c r="BG202" s="1"/>
      <c r="BH202" s="1"/>
      <c r="BI202" s="1"/>
      <c r="BJ202" s="1"/>
      <c r="BK202" s="1"/>
      <c r="BL202" s="1"/>
      <c r="BM202" s="1"/>
      <c r="BN202" s="1"/>
    </row>
    <row r="203" spans="1:66" x14ac:dyDescent="0.45">
      <c r="A203" s="230" t="s">
        <v>3699</v>
      </c>
      <c r="B203" s="229" t="s">
        <v>3010</v>
      </c>
      <c r="BG203" s="1"/>
      <c r="BH203" s="1"/>
      <c r="BI203" s="1"/>
      <c r="BJ203" s="1"/>
      <c r="BK203" s="1"/>
      <c r="BL203" s="1"/>
      <c r="BM203" s="1"/>
      <c r="BN203" s="1"/>
    </row>
    <row r="204" spans="1:66" x14ac:dyDescent="0.45">
      <c r="A204" s="230" t="s">
        <v>3045</v>
      </c>
      <c r="B204" s="229" t="s">
        <v>3077</v>
      </c>
      <c r="BG204" s="1"/>
      <c r="BH204" s="1"/>
      <c r="BI204" s="1"/>
      <c r="BJ204" s="1"/>
      <c r="BK204" s="1"/>
      <c r="BL204" s="1"/>
      <c r="BM204" s="1"/>
      <c r="BN204" s="1"/>
    </row>
    <row r="205" spans="1:66" x14ac:dyDescent="0.45">
      <c r="B205" s="229" t="s">
        <v>3095</v>
      </c>
    </row>
    <row r="206" spans="1:66" x14ac:dyDescent="0.45">
      <c r="B206" s="229" t="s">
        <v>3096</v>
      </c>
    </row>
    <row r="207" spans="1:66" x14ac:dyDescent="0.45">
      <c r="B207" s="229" t="s">
        <v>3624</v>
      </c>
    </row>
    <row r="208" spans="1:66" x14ac:dyDescent="0.45">
      <c r="B208" s="229" t="s">
        <v>3623</v>
      </c>
    </row>
    <row r="209" spans="1:2" x14ac:dyDescent="0.45">
      <c r="B209" s="229" t="s">
        <v>3070</v>
      </c>
    </row>
    <row r="211" spans="1:2" x14ac:dyDescent="0.45">
      <c r="B211" s="229" t="s">
        <v>3015</v>
      </c>
    </row>
    <row r="212" spans="1:2" x14ac:dyDescent="0.45">
      <c r="B212" s="229" t="s">
        <v>3019</v>
      </c>
    </row>
    <row r="213" spans="1:2" x14ac:dyDescent="0.45">
      <c r="B213" s="229" t="s">
        <v>3071</v>
      </c>
    </row>
    <row r="215" spans="1:2" x14ac:dyDescent="0.45">
      <c r="B215" s="229" t="s">
        <v>3097</v>
      </c>
    </row>
    <row r="216" spans="1:2" x14ac:dyDescent="0.45">
      <c r="B216" s="229" t="s">
        <v>3040</v>
      </c>
    </row>
    <row r="217" spans="1:2" x14ac:dyDescent="0.45">
      <c r="B217" s="229" t="s">
        <v>3017</v>
      </c>
    </row>
    <row r="219" spans="1:2" x14ac:dyDescent="0.45">
      <c r="A219" s="230" t="s">
        <v>2990</v>
      </c>
      <c r="B219" s="229" t="s">
        <v>3020</v>
      </c>
    </row>
    <row r="220" spans="1:2" x14ac:dyDescent="0.45">
      <c r="B220" s="229" t="s">
        <v>3033</v>
      </c>
    </row>
    <row r="221" spans="1:2" x14ac:dyDescent="0.45">
      <c r="B221" s="229" t="s">
        <v>3625</v>
      </c>
    </row>
    <row r="222" spans="1:2" x14ac:dyDescent="0.45">
      <c r="B222" s="229" t="s">
        <v>3021</v>
      </c>
    </row>
    <row r="223" spans="1:2" x14ac:dyDescent="0.45">
      <c r="B223" s="229" t="s">
        <v>3022</v>
      </c>
    </row>
    <row r="225" spans="1:7" x14ac:dyDescent="0.45">
      <c r="A225" s="230" t="s">
        <v>3016</v>
      </c>
      <c r="B225" s="229" t="s">
        <v>3630</v>
      </c>
    </row>
    <row r="226" spans="1:7" x14ac:dyDescent="0.45">
      <c r="B226" s="229" t="s">
        <v>3023</v>
      </c>
      <c r="G226" s="229" t="s">
        <v>3024</v>
      </c>
    </row>
    <row r="227" spans="1:7" x14ac:dyDescent="0.45">
      <c r="G227" s="229" t="s">
        <v>3626</v>
      </c>
    </row>
    <row r="228" spans="1:7" x14ac:dyDescent="0.45">
      <c r="G228" s="229" t="s">
        <v>3027</v>
      </c>
    </row>
    <row r="229" spans="1:7" x14ac:dyDescent="0.45">
      <c r="B229" s="229" t="s">
        <v>3025</v>
      </c>
      <c r="G229" s="229" t="s">
        <v>3026</v>
      </c>
    </row>
    <row r="230" spans="1:7" x14ac:dyDescent="0.45">
      <c r="B230" s="229" t="s">
        <v>3028</v>
      </c>
      <c r="G230" s="229" t="s">
        <v>3029</v>
      </c>
    </row>
    <row r="231" spans="1:7" x14ac:dyDescent="0.45">
      <c r="G231" s="229" t="s">
        <v>3627</v>
      </c>
    </row>
    <row r="232" spans="1:7" x14ac:dyDescent="0.45">
      <c r="G232" s="229" t="s">
        <v>3628</v>
      </c>
    </row>
    <row r="233" spans="1:7" x14ac:dyDescent="0.45">
      <c r="B233" s="229" t="s">
        <v>3030</v>
      </c>
      <c r="G233" s="229" t="s">
        <v>3031</v>
      </c>
    </row>
    <row r="234" spans="1:7" x14ac:dyDescent="0.45">
      <c r="G234" s="229" t="s">
        <v>3629</v>
      </c>
    </row>
    <row r="236" spans="1:7" x14ac:dyDescent="0.45">
      <c r="A236" s="230" t="s">
        <v>3032</v>
      </c>
      <c r="B236" s="229" t="s">
        <v>3631</v>
      </c>
    </row>
    <row r="237" spans="1:7" x14ac:dyDescent="0.45">
      <c r="B237" s="229" t="s">
        <v>3023</v>
      </c>
      <c r="G237" s="229" t="s">
        <v>3034</v>
      </c>
    </row>
    <row r="238" spans="1:7" x14ac:dyDescent="0.45">
      <c r="G238" s="229" t="s">
        <v>3632</v>
      </c>
    </row>
    <row r="239" spans="1:7" x14ac:dyDescent="0.45">
      <c r="B239" s="229" t="s">
        <v>3025</v>
      </c>
      <c r="G239" s="229" t="s">
        <v>3035</v>
      </c>
    </row>
    <row r="240" spans="1:7" x14ac:dyDescent="0.45">
      <c r="G240" s="229" t="s">
        <v>3036</v>
      </c>
    </row>
    <row r="241" spans="1:9" x14ac:dyDescent="0.45">
      <c r="G241" s="229" t="s">
        <v>3634</v>
      </c>
    </row>
    <row r="242" spans="1:9" x14ac:dyDescent="0.45">
      <c r="G242" s="229" t="s">
        <v>3633</v>
      </c>
    </row>
    <row r="243" spans="1:9" x14ac:dyDescent="0.45">
      <c r="B243" s="229" t="s">
        <v>3037</v>
      </c>
      <c r="G243" s="229" t="s">
        <v>3038</v>
      </c>
    </row>
    <row r="245" spans="1:9" x14ac:dyDescent="0.45">
      <c r="A245" s="230" t="s">
        <v>3032</v>
      </c>
      <c r="B245" s="229" t="s">
        <v>3039</v>
      </c>
      <c r="G245" s="229" t="s">
        <v>3041</v>
      </c>
    </row>
    <row r="247" spans="1:9" x14ac:dyDescent="0.45">
      <c r="A247" s="230" t="s">
        <v>3042</v>
      </c>
      <c r="B247" s="229" t="s">
        <v>3043</v>
      </c>
    </row>
    <row r="248" spans="1:9" x14ac:dyDescent="0.45">
      <c r="B248" s="229" t="s">
        <v>3044</v>
      </c>
    </row>
    <row r="249" spans="1:9" x14ac:dyDescent="0.45">
      <c r="B249" s="229" t="s">
        <v>3055</v>
      </c>
    </row>
    <row r="250" spans="1:9" x14ac:dyDescent="0.45">
      <c r="B250" s="229" t="s">
        <v>3635</v>
      </c>
    </row>
    <row r="252" spans="1:9" x14ac:dyDescent="0.45">
      <c r="A252" s="230" t="s">
        <v>3045</v>
      </c>
      <c r="B252" s="229" t="s">
        <v>3046</v>
      </c>
    </row>
    <row r="253" spans="1:9" x14ac:dyDescent="0.45">
      <c r="B253" s="229" t="s">
        <v>3047</v>
      </c>
      <c r="I253" s="229" t="s">
        <v>3048</v>
      </c>
    </row>
    <row r="254" spans="1:9" x14ac:dyDescent="0.45">
      <c r="I254" s="229" t="s">
        <v>3049</v>
      </c>
    </row>
    <row r="255" spans="1:9" x14ac:dyDescent="0.45">
      <c r="B255" s="229" t="s">
        <v>3050</v>
      </c>
      <c r="I255" s="229" t="s">
        <v>3051</v>
      </c>
    </row>
    <row r="256" spans="1:9" x14ac:dyDescent="0.45">
      <c r="I256" s="229" t="s">
        <v>3636</v>
      </c>
    </row>
    <row r="257" spans="1:9" x14ac:dyDescent="0.45">
      <c r="I257" s="229" t="s">
        <v>3637</v>
      </c>
    </row>
    <row r="258" spans="1:9" x14ac:dyDescent="0.45">
      <c r="I258" s="229" t="s">
        <v>3638</v>
      </c>
    </row>
    <row r="259" spans="1:9" x14ac:dyDescent="0.45">
      <c r="B259" s="229" t="s">
        <v>3052</v>
      </c>
      <c r="I259" s="229" t="s">
        <v>3053</v>
      </c>
    </row>
    <row r="260" spans="1:9" x14ac:dyDescent="0.45">
      <c r="I260" s="229" t="s">
        <v>3639</v>
      </c>
    </row>
    <row r="261" spans="1:9" x14ac:dyDescent="0.45">
      <c r="I261" s="229" t="s">
        <v>3640</v>
      </c>
    </row>
    <row r="263" spans="1:9" x14ac:dyDescent="0.45">
      <c r="A263" s="230" t="s">
        <v>3045</v>
      </c>
      <c r="B263" s="229" t="s">
        <v>3054</v>
      </c>
    </row>
    <row r="264" spans="1:9" x14ac:dyDescent="0.45">
      <c r="B264" s="229" t="s">
        <v>3056</v>
      </c>
      <c r="G264" s="229" t="s">
        <v>3641</v>
      </c>
    </row>
    <row r="265" spans="1:9" x14ac:dyDescent="0.45">
      <c r="G265" s="229" t="s">
        <v>3642</v>
      </c>
    </row>
    <row r="266" spans="1:9" x14ac:dyDescent="0.45">
      <c r="B266" s="229" t="s">
        <v>3057</v>
      </c>
      <c r="G266" s="229" t="s">
        <v>3643</v>
      </c>
    </row>
    <row r="267" spans="1:9" x14ac:dyDescent="0.45">
      <c r="G267" s="229" t="s">
        <v>3644</v>
      </c>
    </row>
    <row r="268" spans="1:9" x14ac:dyDescent="0.45">
      <c r="B268" s="229" t="s">
        <v>3058</v>
      </c>
      <c r="G268" s="229" t="s">
        <v>3645</v>
      </c>
    </row>
    <row r="269" spans="1:9" x14ac:dyDescent="0.45">
      <c r="G269" s="229" t="s">
        <v>3646</v>
      </c>
    </row>
    <row r="271" spans="1:9" x14ac:dyDescent="0.45">
      <c r="A271" s="230" t="s">
        <v>3045</v>
      </c>
      <c r="B271" s="229" t="s">
        <v>3059</v>
      </c>
    </row>
    <row r="272" spans="1:9" x14ac:dyDescent="0.45">
      <c r="B272" s="229" t="s">
        <v>3061</v>
      </c>
      <c r="I272" s="229" t="s">
        <v>3647</v>
      </c>
    </row>
    <row r="273" spans="1:9" x14ac:dyDescent="0.45">
      <c r="B273" s="229" t="s">
        <v>3062</v>
      </c>
      <c r="I273" s="229" t="s">
        <v>3064</v>
      </c>
    </row>
    <row r="274" spans="1:9" x14ac:dyDescent="0.45">
      <c r="B274" s="229" t="s">
        <v>3063</v>
      </c>
      <c r="I274" s="229" t="s">
        <v>3065</v>
      </c>
    </row>
    <row r="275" spans="1:9" x14ac:dyDescent="0.45">
      <c r="B275" s="229" t="s">
        <v>2859</v>
      </c>
      <c r="I275" s="229" t="s">
        <v>3066</v>
      </c>
    </row>
    <row r="276" spans="1:9" x14ac:dyDescent="0.45">
      <c r="B276" s="229" t="s">
        <v>2860</v>
      </c>
      <c r="I276" s="229" t="s">
        <v>3067</v>
      </c>
    </row>
    <row r="277" spans="1:9" x14ac:dyDescent="0.45">
      <c r="B277" s="229" t="s">
        <v>3068</v>
      </c>
      <c r="I277" s="229" t="s">
        <v>3069</v>
      </c>
    </row>
    <row r="279" spans="1:9" x14ac:dyDescent="0.45">
      <c r="A279" s="230" t="s">
        <v>3699</v>
      </c>
      <c r="B279" s="229" t="s">
        <v>3072</v>
      </c>
    </row>
    <row r="280" spans="1:9" x14ac:dyDescent="0.45">
      <c r="A280" s="230" t="s">
        <v>3045</v>
      </c>
      <c r="B280" s="229" t="s">
        <v>3077</v>
      </c>
    </row>
    <row r="281" spans="1:9" x14ac:dyDescent="0.45">
      <c r="B281" s="229" t="s">
        <v>3073</v>
      </c>
    </row>
    <row r="282" spans="1:9" x14ac:dyDescent="0.45">
      <c r="B282" s="229" t="s">
        <v>3648</v>
      </c>
    </row>
    <row r="283" spans="1:9" x14ac:dyDescent="0.45">
      <c r="B283" s="229" t="s">
        <v>3074</v>
      </c>
    </row>
    <row r="284" spans="1:9" x14ac:dyDescent="0.45">
      <c r="B284" s="229" t="s">
        <v>3649</v>
      </c>
    </row>
    <row r="285" spans="1:9" x14ac:dyDescent="0.45">
      <c r="B285" s="229" t="s">
        <v>3650</v>
      </c>
    </row>
    <row r="287" spans="1:9" x14ac:dyDescent="0.45">
      <c r="A287" s="230" t="s">
        <v>3509</v>
      </c>
      <c r="B287" s="229" t="s">
        <v>3510</v>
      </c>
    </row>
    <row r="288" spans="1:9" x14ac:dyDescent="0.45">
      <c r="B288" s="229" t="s">
        <v>3507</v>
      </c>
    </row>
    <row r="289" spans="1:7" x14ac:dyDescent="0.45">
      <c r="B289" s="229" t="s">
        <v>3508</v>
      </c>
    </row>
    <row r="290" spans="1:7" x14ac:dyDescent="0.45">
      <c r="B290" s="229" t="s">
        <v>3753</v>
      </c>
    </row>
    <row r="291" spans="1:7" x14ac:dyDescent="0.45">
      <c r="B291" s="229" t="s">
        <v>3754</v>
      </c>
    </row>
    <row r="292" spans="1:7" x14ac:dyDescent="0.45">
      <c r="B292" s="229" t="s">
        <v>3651</v>
      </c>
    </row>
    <row r="294" spans="1:7" x14ac:dyDescent="0.45">
      <c r="A294" s="230" t="s">
        <v>3699</v>
      </c>
      <c r="B294" s="229" t="s">
        <v>3075</v>
      </c>
    </row>
    <row r="295" spans="1:7" x14ac:dyDescent="0.45">
      <c r="A295" s="230" t="s">
        <v>3076</v>
      </c>
      <c r="B295" s="229" t="s">
        <v>3077</v>
      </c>
    </row>
    <row r="296" spans="1:7" x14ac:dyDescent="0.45">
      <c r="B296" s="229" t="s">
        <v>3737</v>
      </c>
    </row>
    <row r="297" spans="1:7" x14ac:dyDescent="0.45">
      <c r="B297" s="229" t="s">
        <v>3738</v>
      </c>
    </row>
    <row r="298" spans="1:7" x14ac:dyDescent="0.45">
      <c r="B298" s="229" t="s">
        <v>3739</v>
      </c>
    </row>
    <row r="299" spans="1:7" x14ac:dyDescent="0.45">
      <c r="B299" s="229" t="s">
        <v>3740</v>
      </c>
    </row>
    <row r="301" spans="1:7" x14ac:dyDescent="0.45">
      <c r="A301" s="230" t="s">
        <v>3741</v>
      </c>
      <c r="B301" s="229" t="s">
        <v>3742</v>
      </c>
    </row>
    <row r="302" spans="1:7" x14ac:dyDescent="0.45">
      <c r="B302" s="229" t="s">
        <v>3743</v>
      </c>
      <c r="G302" s="229" t="s">
        <v>3745</v>
      </c>
    </row>
    <row r="303" spans="1:7" x14ac:dyDescent="0.45">
      <c r="B303" s="229" t="s">
        <v>3744</v>
      </c>
      <c r="G303" s="229" t="s">
        <v>3746</v>
      </c>
    </row>
    <row r="305" spans="1:3" x14ac:dyDescent="0.45">
      <c r="A305" s="230" t="s">
        <v>3699</v>
      </c>
      <c r="B305" s="229" t="s">
        <v>1885</v>
      </c>
    </row>
    <row r="306" spans="1:3" x14ac:dyDescent="0.45">
      <c r="B306" s="229" t="s">
        <v>3513</v>
      </c>
    </row>
    <row r="307" spans="1:3" x14ac:dyDescent="0.45">
      <c r="B307" s="229" t="s">
        <v>3514</v>
      </c>
    </row>
    <row r="309" spans="1:3" x14ac:dyDescent="0.45">
      <c r="A309" s="230" t="s">
        <v>3699</v>
      </c>
      <c r="B309" s="229" t="s">
        <v>3515</v>
      </c>
    </row>
    <row r="310" spans="1:3" x14ac:dyDescent="0.45">
      <c r="B310" s="229" t="s">
        <v>3516</v>
      </c>
    </row>
    <row r="311" spans="1:3" x14ac:dyDescent="0.45">
      <c r="B311" s="229" t="s">
        <v>1723</v>
      </c>
      <c r="C311" s="229" t="s">
        <v>3517</v>
      </c>
    </row>
    <row r="312" spans="1:3" x14ac:dyDescent="0.45">
      <c r="B312" s="229" t="s">
        <v>1694</v>
      </c>
      <c r="C312" s="229" t="s">
        <v>3518</v>
      </c>
    </row>
    <row r="313" spans="1:3" x14ac:dyDescent="0.45">
      <c r="B313" s="229" t="s">
        <v>1723</v>
      </c>
      <c r="C313" s="229" t="s">
        <v>3523</v>
      </c>
    </row>
    <row r="314" spans="1:3" x14ac:dyDescent="0.45">
      <c r="B314" s="229" t="s">
        <v>1723</v>
      </c>
      <c r="C314" s="229" t="s">
        <v>3652</v>
      </c>
    </row>
    <row r="315" spans="1:3" x14ac:dyDescent="0.45">
      <c r="C315" s="229" t="s">
        <v>3524</v>
      </c>
    </row>
    <row r="317" spans="1:3" x14ac:dyDescent="0.45">
      <c r="A317" s="230" t="s">
        <v>3699</v>
      </c>
      <c r="B317" s="229" t="s">
        <v>2839</v>
      </c>
    </row>
    <row r="318" spans="1:3" x14ac:dyDescent="0.45">
      <c r="B318" s="229" t="s">
        <v>3526</v>
      </c>
    </row>
    <row r="319" spans="1:3" x14ac:dyDescent="0.45">
      <c r="B319" s="229" t="s">
        <v>3527</v>
      </c>
    </row>
    <row r="321" spans="1:2" x14ac:dyDescent="0.45">
      <c r="A321" s="230" t="s">
        <v>3699</v>
      </c>
      <c r="B321" s="229" t="s">
        <v>3701</v>
      </c>
    </row>
    <row r="322" spans="1:2" x14ac:dyDescent="0.45">
      <c r="B322" s="229" t="s">
        <v>3528</v>
      </c>
    </row>
    <row r="323" spans="1:2" x14ac:dyDescent="0.45">
      <c r="B323" s="229" t="s">
        <v>3529</v>
      </c>
    </row>
    <row r="325" spans="1:2" x14ac:dyDescent="0.45">
      <c r="A325" s="230" t="s">
        <v>3699</v>
      </c>
      <c r="B325" s="229" t="s">
        <v>2883</v>
      </c>
    </row>
    <row r="326" spans="1:2" x14ac:dyDescent="0.45">
      <c r="B326" s="229" t="s">
        <v>3531</v>
      </c>
    </row>
    <row r="328" spans="1:2" x14ac:dyDescent="0.45">
      <c r="A328" s="230" t="s">
        <v>3509</v>
      </c>
      <c r="B328" s="229" t="s">
        <v>2582</v>
      </c>
    </row>
    <row r="329" spans="1:2" x14ac:dyDescent="0.45">
      <c r="A329" s="230" t="s">
        <v>1723</v>
      </c>
      <c r="B329" s="229" t="s">
        <v>3532</v>
      </c>
    </row>
    <row r="330" spans="1:2" x14ac:dyDescent="0.45">
      <c r="B330" s="229" t="s">
        <v>3655</v>
      </c>
    </row>
    <row r="331" spans="1:2" x14ac:dyDescent="0.45">
      <c r="B331" s="229" t="s">
        <v>3654</v>
      </c>
    </row>
    <row r="332" spans="1:2" x14ac:dyDescent="0.45">
      <c r="B332" s="229" t="s">
        <v>3653</v>
      </c>
    </row>
    <row r="334" spans="1:2" x14ac:dyDescent="0.45">
      <c r="A334" s="230" t="s">
        <v>1723</v>
      </c>
      <c r="B334" s="229" t="s">
        <v>3533</v>
      </c>
    </row>
    <row r="335" spans="1:2" x14ac:dyDescent="0.45">
      <c r="B335" s="229" t="s">
        <v>3536</v>
      </c>
    </row>
    <row r="336" spans="1:2" x14ac:dyDescent="0.45">
      <c r="B336" s="229" t="s">
        <v>3656</v>
      </c>
    </row>
    <row r="337" spans="1:2" x14ac:dyDescent="0.45">
      <c r="B337" s="229" t="s">
        <v>3657</v>
      </c>
    </row>
    <row r="338" spans="1:2" x14ac:dyDescent="0.45">
      <c r="B338" s="229" t="s">
        <v>3658</v>
      </c>
    </row>
    <row r="339" spans="1:2" x14ac:dyDescent="0.45">
      <c r="B339" s="229" t="s">
        <v>3534</v>
      </c>
    </row>
    <row r="340" spans="1:2" x14ac:dyDescent="0.45">
      <c r="B340" s="229" t="s">
        <v>3660</v>
      </c>
    </row>
    <row r="341" spans="1:2" x14ac:dyDescent="0.45">
      <c r="B341" s="229" t="s">
        <v>3659</v>
      </c>
    </row>
    <row r="343" spans="1:2" x14ac:dyDescent="0.45">
      <c r="A343" s="230" t="s">
        <v>3509</v>
      </c>
      <c r="B343" s="229" t="s">
        <v>3538</v>
      </c>
    </row>
    <row r="344" spans="1:2" x14ac:dyDescent="0.45">
      <c r="B344" s="229" t="s">
        <v>3539</v>
      </c>
    </row>
    <row r="345" spans="1:2" x14ac:dyDescent="0.45">
      <c r="B345" s="229" t="s">
        <v>3540</v>
      </c>
    </row>
    <row r="346" spans="1:2" x14ac:dyDescent="0.45">
      <c r="B346" s="229" t="s">
        <v>3541</v>
      </c>
    </row>
    <row r="348" spans="1:2" x14ac:dyDescent="0.45">
      <c r="A348" s="230" t="s">
        <v>3509</v>
      </c>
      <c r="B348" s="229" t="s">
        <v>3110</v>
      </c>
    </row>
    <row r="349" spans="1:2" x14ac:dyDescent="0.45">
      <c r="A349" s="230" t="s">
        <v>1723</v>
      </c>
      <c r="B349" s="229" t="s">
        <v>3542</v>
      </c>
    </row>
    <row r="350" spans="1:2" x14ac:dyDescent="0.45">
      <c r="B350" s="229" t="s">
        <v>3543</v>
      </c>
    </row>
    <row r="351" spans="1:2" x14ac:dyDescent="0.45">
      <c r="B351" s="229" t="s">
        <v>3544</v>
      </c>
    </row>
    <row r="352" spans="1:2" x14ac:dyDescent="0.45">
      <c r="B352" s="229" t="s">
        <v>3661</v>
      </c>
    </row>
    <row r="353" spans="1:3" x14ac:dyDescent="0.45">
      <c r="B353" s="229" t="s">
        <v>3662</v>
      </c>
    </row>
    <row r="355" spans="1:3" x14ac:dyDescent="0.45">
      <c r="B355" s="229" t="s">
        <v>3545</v>
      </c>
    </row>
    <row r="357" spans="1:3" x14ac:dyDescent="0.45">
      <c r="A357" s="230" t="s">
        <v>3699</v>
      </c>
      <c r="B357" s="229" t="s">
        <v>3546</v>
      </c>
    </row>
    <row r="358" spans="1:3" x14ac:dyDescent="0.45">
      <c r="B358" s="229" t="s">
        <v>3547</v>
      </c>
    </row>
    <row r="359" spans="1:3" x14ac:dyDescent="0.45">
      <c r="B359" s="229" t="s">
        <v>3702</v>
      </c>
    </row>
    <row r="361" spans="1:3" x14ac:dyDescent="0.45">
      <c r="A361" s="230" t="s">
        <v>3078</v>
      </c>
      <c r="B361" s="10" t="s">
        <v>3079</v>
      </c>
    </row>
    <row r="362" spans="1:3" x14ac:dyDescent="0.45">
      <c r="A362" s="230" t="s">
        <v>3699</v>
      </c>
      <c r="B362" s="229" t="s">
        <v>3080</v>
      </c>
    </row>
    <row r="363" spans="1:3" x14ac:dyDescent="0.45">
      <c r="B363" s="229" t="s">
        <v>3663</v>
      </c>
    </row>
    <row r="364" spans="1:3" x14ac:dyDescent="0.45">
      <c r="B364" s="229" t="s">
        <v>3664</v>
      </c>
    </row>
    <row r="365" spans="1:3" x14ac:dyDescent="0.45">
      <c r="B365" s="229" t="s">
        <v>3665</v>
      </c>
    </row>
    <row r="366" spans="1:3" x14ac:dyDescent="0.45">
      <c r="B366" s="229" t="s">
        <v>3666</v>
      </c>
    </row>
    <row r="367" spans="1:3" x14ac:dyDescent="0.45">
      <c r="B367" s="229" t="s">
        <v>3667</v>
      </c>
    </row>
    <row r="368" spans="1:3" x14ac:dyDescent="0.45">
      <c r="C368" s="229" t="s">
        <v>3081</v>
      </c>
    </row>
    <row r="370" spans="1:3" x14ac:dyDescent="0.45">
      <c r="A370" s="230" t="s">
        <v>3699</v>
      </c>
      <c r="B370" s="229" t="s">
        <v>3082</v>
      </c>
    </row>
    <row r="371" spans="1:3" x14ac:dyDescent="0.45">
      <c r="B371" s="229" t="s">
        <v>3668</v>
      </c>
    </row>
    <row r="372" spans="1:3" x14ac:dyDescent="0.45">
      <c r="C372" s="229" t="s">
        <v>3083</v>
      </c>
    </row>
    <row r="373" spans="1:3" x14ac:dyDescent="0.45">
      <c r="B373" s="229" t="s">
        <v>3669</v>
      </c>
    </row>
    <row r="374" spans="1:3" x14ac:dyDescent="0.45">
      <c r="B374" s="229" t="s">
        <v>3670</v>
      </c>
    </row>
    <row r="376" spans="1:3" x14ac:dyDescent="0.45">
      <c r="A376" s="230" t="s">
        <v>3699</v>
      </c>
      <c r="B376" s="229" t="s">
        <v>3084</v>
      </c>
    </row>
    <row r="377" spans="1:3" x14ac:dyDescent="0.45">
      <c r="B377" s="229" t="s">
        <v>3671</v>
      </c>
    </row>
    <row r="378" spans="1:3" x14ac:dyDescent="0.45">
      <c r="B378" s="229" t="s">
        <v>3672</v>
      </c>
    </row>
    <row r="379" spans="1:3" x14ac:dyDescent="0.45">
      <c r="C379" s="229" t="s">
        <v>3673</v>
      </c>
    </row>
    <row r="380" spans="1:3" x14ac:dyDescent="0.45">
      <c r="C380" s="229" t="s">
        <v>3674</v>
      </c>
    </row>
    <row r="381" spans="1:3" x14ac:dyDescent="0.45">
      <c r="C381" s="229" t="s">
        <v>3675</v>
      </c>
    </row>
    <row r="382" spans="1:3" x14ac:dyDescent="0.45">
      <c r="C382" s="229" t="s">
        <v>3676</v>
      </c>
    </row>
    <row r="383" spans="1:3" x14ac:dyDescent="0.45">
      <c r="C383" s="229" t="s">
        <v>3677</v>
      </c>
    </row>
    <row r="384" spans="1:3" x14ac:dyDescent="0.45">
      <c r="B384" s="229" t="s">
        <v>3678</v>
      </c>
    </row>
    <row r="386" spans="1:7" x14ac:dyDescent="0.45">
      <c r="A386" s="230" t="s">
        <v>3699</v>
      </c>
      <c r="B386" s="229" t="s">
        <v>2956</v>
      </c>
    </row>
    <row r="387" spans="1:7" x14ac:dyDescent="0.45">
      <c r="B387" s="229" t="s">
        <v>3679</v>
      </c>
    </row>
    <row r="388" spans="1:7" x14ac:dyDescent="0.45">
      <c r="B388" s="229" t="s">
        <v>3680</v>
      </c>
    </row>
    <row r="389" spans="1:7" x14ac:dyDescent="0.45">
      <c r="B389" s="229" t="s">
        <v>3681</v>
      </c>
    </row>
    <row r="390" spans="1:7" x14ac:dyDescent="0.45">
      <c r="B390" s="229" t="s">
        <v>3682</v>
      </c>
    </row>
    <row r="392" spans="1:7" x14ac:dyDescent="0.45">
      <c r="B392" s="229" t="s">
        <v>3432</v>
      </c>
      <c r="F392" s="229" t="s">
        <v>3557</v>
      </c>
    </row>
    <row r="393" spans="1:7" x14ac:dyDescent="0.45">
      <c r="G393" s="229" t="s">
        <v>3085</v>
      </c>
    </row>
    <row r="394" spans="1:7" x14ac:dyDescent="0.45">
      <c r="B394" s="229" t="s">
        <v>3433</v>
      </c>
      <c r="F394" s="229" t="s">
        <v>3558</v>
      </c>
    </row>
    <row r="395" spans="1:7" x14ac:dyDescent="0.45">
      <c r="G395" s="229" t="s">
        <v>3086</v>
      </c>
    </row>
    <row r="396" spans="1:7" x14ac:dyDescent="0.45">
      <c r="B396" s="229" t="s">
        <v>2588</v>
      </c>
      <c r="F396" s="229" t="s">
        <v>3559</v>
      </c>
    </row>
    <row r="397" spans="1:7" x14ac:dyDescent="0.45">
      <c r="G397" s="229" t="s">
        <v>3087</v>
      </c>
    </row>
    <row r="398" spans="1:7" x14ac:dyDescent="0.45">
      <c r="G398" s="229" t="s">
        <v>3088</v>
      </c>
    </row>
    <row r="399" spans="1:7" x14ac:dyDescent="0.45">
      <c r="B399" s="229" t="s">
        <v>3560</v>
      </c>
      <c r="F399" s="229" t="s">
        <v>3561</v>
      </c>
    </row>
    <row r="400" spans="1:7" x14ac:dyDescent="0.45">
      <c r="G400" s="229" t="s">
        <v>3089</v>
      </c>
    </row>
    <row r="401" spans="1:8" x14ac:dyDescent="0.45">
      <c r="B401" s="229" t="s">
        <v>3562</v>
      </c>
      <c r="F401" s="229" t="s">
        <v>3563</v>
      </c>
    </row>
    <row r="402" spans="1:8" x14ac:dyDescent="0.45">
      <c r="G402" s="229" t="s">
        <v>3090</v>
      </c>
    </row>
    <row r="403" spans="1:8" x14ac:dyDescent="0.45">
      <c r="B403" s="229" t="s">
        <v>3564</v>
      </c>
      <c r="F403" s="229" t="s">
        <v>3565</v>
      </c>
    </row>
    <row r="404" spans="1:8" x14ac:dyDescent="0.45">
      <c r="G404" s="229" t="s">
        <v>3566</v>
      </c>
    </row>
    <row r="405" spans="1:8" x14ac:dyDescent="0.45">
      <c r="B405" s="229" t="s">
        <v>2547</v>
      </c>
      <c r="F405" s="229" t="s">
        <v>3567</v>
      </c>
    </row>
    <row r="406" spans="1:8" x14ac:dyDescent="0.45">
      <c r="G406" s="229" t="s">
        <v>3091</v>
      </c>
    </row>
    <row r="407" spans="1:8" x14ac:dyDescent="0.45">
      <c r="H407" s="229" t="s">
        <v>3683</v>
      </c>
    </row>
    <row r="408" spans="1:8" x14ac:dyDescent="0.45">
      <c r="H408" s="229" t="s">
        <v>3684</v>
      </c>
    </row>
    <row r="409" spans="1:8" x14ac:dyDescent="0.45">
      <c r="G409" s="229" t="s">
        <v>3685</v>
      </c>
    </row>
    <row r="410" spans="1:8" x14ac:dyDescent="0.45">
      <c r="B410" s="229" t="s">
        <v>3568</v>
      </c>
      <c r="F410" s="229" t="s">
        <v>3569</v>
      </c>
    </row>
    <row r="411" spans="1:8" x14ac:dyDescent="0.45">
      <c r="G411" s="229" t="s">
        <v>3092</v>
      </c>
    </row>
    <row r="412" spans="1:8" x14ac:dyDescent="0.45">
      <c r="H412" s="229" t="s">
        <v>3093</v>
      </c>
    </row>
    <row r="413" spans="1:8" x14ac:dyDescent="0.45">
      <c r="G413" s="229" t="s">
        <v>3686</v>
      </c>
    </row>
    <row r="415" spans="1:8" x14ac:dyDescent="0.45">
      <c r="A415" s="230" t="s">
        <v>3094</v>
      </c>
      <c r="B415" s="229" t="s">
        <v>3098</v>
      </c>
    </row>
    <row r="416" spans="1:8" x14ac:dyDescent="0.45">
      <c r="A416" s="230" t="s">
        <v>3699</v>
      </c>
      <c r="B416" s="229" t="s">
        <v>3099</v>
      </c>
    </row>
    <row r="417" spans="1:3" x14ac:dyDescent="0.45">
      <c r="B417" s="229" t="s">
        <v>3687</v>
      </c>
    </row>
    <row r="418" spans="1:3" x14ac:dyDescent="0.45">
      <c r="B418" s="229" t="s">
        <v>3549</v>
      </c>
    </row>
    <row r="419" spans="1:3" x14ac:dyDescent="0.45">
      <c r="B419" s="229" t="s">
        <v>3688</v>
      </c>
    </row>
    <row r="421" spans="1:3" x14ac:dyDescent="0.45">
      <c r="B421" s="229" t="s">
        <v>3689</v>
      </c>
    </row>
    <row r="422" spans="1:3" x14ac:dyDescent="0.45">
      <c r="B422" s="229" t="s">
        <v>3690</v>
      </c>
    </row>
    <row r="423" spans="1:3" x14ac:dyDescent="0.45">
      <c r="B423" s="229" t="s">
        <v>3691</v>
      </c>
    </row>
    <row r="425" spans="1:3" x14ac:dyDescent="0.45">
      <c r="B425" s="229" t="s">
        <v>3692</v>
      </c>
    </row>
    <row r="426" spans="1:3" x14ac:dyDescent="0.45">
      <c r="B426" s="229" t="s">
        <v>3693</v>
      </c>
    </row>
    <row r="427" spans="1:3" x14ac:dyDescent="0.45">
      <c r="B427" s="229" t="s">
        <v>3694</v>
      </c>
    </row>
    <row r="429" spans="1:3" x14ac:dyDescent="0.45">
      <c r="A429" s="230" t="s">
        <v>3699</v>
      </c>
      <c r="B429" s="229" t="s">
        <v>3100</v>
      </c>
    </row>
    <row r="430" spans="1:3" x14ac:dyDescent="0.45">
      <c r="B430" s="229" t="s">
        <v>3101</v>
      </c>
    </row>
    <row r="431" spans="1:3" x14ac:dyDescent="0.45">
      <c r="B431" s="230" t="s">
        <v>1723</v>
      </c>
      <c r="C431" s="229" t="s">
        <v>3696</v>
      </c>
    </row>
    <row r="432" spans="1:3" x14ac:dyDescent="0.45">
      <c r="B432" s="230" t="s">
        <v>3695</v>
      </c>
      <c r="C432" s="229" t="s">
        <v>3697</v>
      </c>
    </row>
    <row r="433" spans="1:7" x14ac:dyDescent="0.45">
      <c r="B433" s="230" t="s">
        <v>3550</v>
      </c>
      <c r="C433" s="229" t="s">
        <v>3698</v>
      </c>
    </row>
    <row r="434" spans="1:7" x14ac:dyDescent="0.45">
      <c r="B434" s="230"/>
      <c r="D434" s="229" t="s">
        <v>3103</v>
      </c>
    </row>
    <row r="435" spans="1:7" x14ac:dyDescent="0.45">
      <c r="B435" s="230" t="s">
        <v>1694</v>
      </c>
      <c r="C435" s="229" t="s">
        <v>3102</v>
      </c>
    </row>
    <row r="436" spans="1:7" x14ac:dyDescent="0.45">
      <c r="D436" s="229" t="s">
        <v>3105</v>
      </c>
    </row>
    <row r="437" spans="1:7" x14ac:dyDescent="0.45">
      <c r="D437" s="229" t="s">
        <v>3104</v>
      </c>
    </row>
    <row r="439" spans="1:7" x14ac:dyDescent="0.45">
      <c r="A439" s="230" t="s">
        <v>3699</v>
      </c>
      <c r="B439" s="229" t="s">
        <v>3137</v>
      </c>
    </row>
    <row r="440" spans="1:7" x14ac:dyDescent="0.45">
      <c r="B440" s="229" t="s">
        <v>3552</v>
      </c>
      <c r="F440" s="229" t="s">
        <v>3553</v>
      </c>
    </row>
    <row r="441" spans="1:7" x14ac:dyDescent="0.45">
      <c r="B441" s="229" t="s">
        <v>3554</v>
      </c>
      <c r="F441" s="229" t="s">
        <v>3555</v>
      </c>
    </row>
    <row r="442" spans="1:7" x14ac:dyDescent="0.45">
      <c r="G442" s="229" t="s">
        <v>3138</v>
      </c>
    </row>
    <row r="443" spans="1:7" x14ac:dyDescent="0.45">
      <c r="B443" s="229" t="s">
        <v>3551</v>
      </c>
      <c r="F443" s="229" t="s">
        <v>3142</v>
      </c>
    </row>
    <row r="444" spans="1:7" x14ac:dyDescent="0.45">
      <c r="F444" s="229" t="s">
        <v>3139</v>
      </c>
    </row>
    <row r="446" spans="1:7" x14ac:dyDescent="0.45">
      <c r="B446" s="229" t="s">
        <v>3140</v>
      </c>
      <c r="F446" s="229" t="s">
        <v>3141</v>
      </c>
    </row>
    <row r="447" spans="1:7" x14ac:dyDescent="0.45">
      <c r="F447" s="229" t="s">
        <v>3139</v>
      </c>
    </row>
    <row r="448" spans="1:7" x14ac:dyDescent="0.45">
      <c r="F448" s="229" t="s">
        <v>3143</v>
      </c>
    </row>
    <row r="450" spans="2:2" x14ac:dyDescent="0.45">
      <c r="B450" s="229" t="s">
        <v>3556</v>
      </c>
    </row>
  </sheetData>
  <phoneticPr fontId="3"/>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6" zoomScaleNormal="96" workbookViewId="0">
      <selection activeCell="B37" sqref="B37"/>
    </sheetView>
  </sheetViews>
  <sheetFormatPr defaultColWidth="3.109375" defaultRowHeight="16.5" x14ac:dyDescent="0.45"/>
  <cols>
    <col min="1" max="1" width="3.109375" style="232"/>
    <col min="2" max="16384" width="3.109375" style="231"/>
  </cols>
  <sheetData>
    <row r="1" spans="1:3" ht="19.5" x14ac:dyDescent="0.45">
      <c r="A1" s="474" t="s">
        <v>1713</v>
      </c>
    </row>
    <row r="3" spans="1:3" x14ac:dyDescent="0.45">
      <c r="A3" s="232" t="s">
        <v>1712</v>
      </c>
      <c r="B3" s="231" t="s">
        <v>1711</v>
      </c>
    </row>
    <row r="4" spans="1:3" x14ac:dyDescent="0.45">
      <c r="B4" s="231" t="s">
        <v>3750</v>
      </c>
    </row>
    <row r="5" spans="1:3" x14ac:dyDescent="0.45">
      <c r="B5" s="231" t="s">
        <v>3749</v>
      </c>
    </row>
    <row r="6" spans="1:3" x14ac:dyDescent="0.45">
      <c r="A6" s="232" t="s">
        <v>1704</v>
      </c>
      <c r="B6" s="231" t="s">
        <v>1710</v>
      </c>
    </row>
    <row r="7" spans="1:3" x14ac:dyDescent="0.45">
      <c r="B7" s="231" t="s">
        <v>1717</v>
      </c>
    </row>
    <row r="8" spans="1:3" x14ac:dyDescent="0.45">
      <c r="A8" s="232" t="s">
        <v>1704</v>
      </c>
      <c r="B8" s="231" t="s">
        <v>1709</v>
      </c>
    </row>
    <row r="9" spans="1:3" x14ac:dyDescent="0.45">
      <c r="B9" s="231" t="s">
        <v>1741</v>
      </c>
    </row>
    <row r="10" spans="1:3" x14ac:dyDescent="0.45">
      <c r="B10" s="232" t="s">
        <v>1707</v>
      </c>
      <c r="C10" s="231" t="s">
        <v>2893</v>
      </c>
    </row>
    <row r="11" spans="1:3" x14ac:dyDescent="0.45">
      <c r="B11" s="232" t="s">
        <v>1707</v>
      </c>
      <c r="C11" s="231" t="s">
        <v>1708</v>
      </c>
    </row>
    <row r="12" spans="1:3" x14ac:dyDescent="0.45">
      <c r="B12" s="232" t="s">
        <v>1707</v>
      </c>
      <c r="C12" s="231" t="s">
        <v>1706</v>
      </c>
    </row>
    <row r="14" spans="1:3" x14ac:dyDescent="0.45">
      <c r="A14" s="232" t="s">
        <v>1702</v>
      </c>
      <c r="B14" s="231" t="s">
        <v>1705</v>
      </c>
    </row>
    <row r="15" spans="1:3" x14ac:dyDescent="0.45">
      <c r="A15" s="232" t="s">
        <v>1704</v>
      </c>
      <c r="B15" s="231" t="s">
        <v>3747</v>
      </c>
    </row>
    <row r="16" spans="1:3" x14ac:dyDescent="0.45">
      <c r="A16" s="232" t="s">
        <v>1704</v>
      </c>
      <c r="B16" s="231" t="s">
        <v>1703</v>
      </c>
    </row>
    <row r="17" spans="1:15" x14ac:dyDescent="0.45">
      <c r="B17" s="232" t="s">
        <v>1723</v>
      </c>
      <c r="C17" s="231" t="s">
        <v>3748</v>
      </c>
    </row>
    <row r="19" spans="1:15" x14ac:dyDescent="0.45">
      <c r="A19" s="232" t="s">
        <v>1718</v>
      </c>
      <c r="B19" s="231" t="s">
        <v>1719</v>
      </c>
    </row>
    <row r="20" spans="1:15" x14ac:dyDescent="0.45">
      <c r="A20" s="232" t="s">
        <v>1721</v>
      </c>
      <c r="B20" s="231" t="s">
        <v>1722</v>
      </c>
    </row>
    <row r="21" spans="1:15" x14ac:dyDescent="0.45">
      <c r="A21" s="232" t="s">
        <v>1720</v>
      </c>
      <c r="B21" s="231" t="s">
        <v>2894</v>
      </c>
    </row>
    <row r="23" spans="1:15" x14ac:dyDescent="0.45">
      <c r="A23" s="232" t="s">
        <v>1702</v>
      </c>
      <c r="B23" s="231" t="s">
        <v>1701</v>
      </c>
    </row>
    <row r="24" spans="1:15" x14ac:dyDescent="0.45">
      <c r="A24" s="232" t="s">
        <v>1700</v>
      </c>
      <c r="B24" s="231" t="s">
        <v>1699</v>
      </c>
    </row>
    <row r="25" spans="1:15" x14ac:dyDescent="0.45">
      <c r="B25" s="232" t="s">
        <v>1694</v>
      </c>
      <c r="C25" s="231" t="s">
        <v>1698</v>
      </c>
    </row>
    <row r="26" spans="1:15" x14ac:dyDescent="0.45">
      <c r="B26" s="232" t="s">
        <v>1694</v>
      </c>
      <c r="C26" s="231" t="s">
        <v>1697</v>
      </c>
    </row>
    <row r="28" spans="1:15" x14ac:dyDescent="0.45">
      <c r="A28" s="232" t="s">
        <v>1688</v>
      </c>
      <c r="B28" s="231" t="s">
        <v>1696</v>
      </c>
    </row>
    <row r="29" spans="1:15" x14ac:dyDescent="0.45">
      <c r="B29" s="232" t="s">
        <v>1694</v>
      </c>
      <c r="C29" s="231" t="s">
        <v>1695</v>
      </c>
    </row>
    <row r="30" spans="1:15" x14ac:dyDescent="0.45">
      <c r="B30" s="232" t="s">
        <v>1694</v>
      </c>
      <c r="C30" s="231" t="s">
        <v>1693</v>
      </c>
    </row>
    <row r="31" spans="1:15" x14ac:dyDescent="0.45">
      <c r="O31" s="233"/>
    </row>
    <row r="32" spans="1:15" x14ac:dyDescent="0.45">
      <c r="A32" s="232" t="s">
        <v>1688</v>
      </c>
      <c r="B32" s="231" t="s">
        <v>1692</v>
      </c>
    </row>
    <row r="33" spans="1:2" x14ac:dyDescent="0.45">
      <c r="A33" s="232" t="s">
        <v>1680</v>
      </c>
      <c r="B33" s="231" t="s">
        <v>1691</v>
      </c>
    </row>
    <row r="34" spans="1:2" x14ac:dyDescent="0.45">
      <c r="B34" s="231" t="s">
        <v>1690</v>
      </c>
    </row>
    <row r="35" spans="1:2" x14ac:dyDescent="0.45">
      <c r="B35" s="231" t="s">
        <v>1689</v>
      </c>
    </row>
    <row r="36" spans="1:2" x14ac:dyDescent="0.45">
      <c r="A36" s="232" t="s">
        <v>1680</v>
      </c>
      <c r="B36" s="231" t="s">
        <v>3751</v>
      </c>
    </row>
    <row r="38" spans="1:2" x14ac:dyDescent="0.45">
      <c r="A38" s="232" t="s">
        <v>1688</v>
      </c>
      <c r="B38" s="231" t="s">
        <v>1715</v>
      </c>
    </row>
    <row r="39" spans="1:2" x14ac:dyDescent="0.45">
      <c r="B39" s="231" t="s">
        <v>1714</v>
      </c>
    </row>
    <row r="43" spans="1:2" x14ac:dyDescent="0.45">
      <c r="B43" s="231" t="s">
        <v>3704</v>
      </c>
    </row>
    <row r="44" spans="1:2" x14ac:dyDescent="0.45">
      <c r="B44" s="231" t="s">
        <v>3705</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5"/>
  <sheetViews>
    <sheetView workbookViewId="0">
      <selection activeCell="A2" sqref="A2"/>
    </sheetView>
  </sheetViews>
  <sheetFormatPr defaultRowHeight="16.5" x14ac:dyDescent="0.45"/>
  <cols>
    <col min="1" max="1" width="6.77734375" style="524" customWidth="1"/>
    <col min="2" max="2" width="6.5546875" style="476" customWidth="1"/>
    <col min="3" max="3" width="9.44140625" style="477" customWidth="1"/>
    <col min="4" max="4" width="57.88671875" style="475" customWidth="1"/>
    <col min="5" max="16384" width="8.88671875" style="1"/>
  </cols>
  <sheetData>
    <row r="1" spans="1:8" s="480" customFormat="1" x14ac:dyDescent="0.45">
      <c r="A1" s="522" t="s">
        <v>3122</v>
      </c>
      <c r="B1" s="478" t="s">
        <v>3123</v>
      </c>
      <c r="C1" s="516" t="s">
        <v>3117</v>
      </c>
      <c r="D1" s="479" t="s">
        <v>3124</v>
      </c>
      <c r="F1" s="480" t="s">
        <v>3384</v>
      </c>
      <c r="G1" s="481" t="s">
        <v>3118</v>
      </c>
      <c r="H1" s="481" t="s">
        <v>3119</v>
      </c>
    </row>
    <row r="2" spans="1:8" ht="33" x14ac:dyDescent="0.45">
      <c r="A2" s="523" t="s">
        <v>3752</v>
      </c>
      <c r="B2" s="514" t="s">
        <v>3755</v>
      </c>
      <c r="C2" s="517">
        <v>43863.551863425928</v>
      </c>
      <c r="D2" s="515" t="s">
        <v>3787</v>
      </c>
      <c r="G2" s="359" t="s">
        <v>3120</v>
      </c>
      <c r="H2" s="359" t="s">
        <v>3121</v>
      </c>
    </row>
    <row r="3" spans="1:8" x14ac:dyDescent="0.45">
      <c r="A3" s="524" t="s">
        <v>3125</v>
      </c>
      <c r="B3" s="476" t="s">
        <v>3385</v>
      </c>
      <c r="C3" s="477">
        <v>43862</v>
      </c>
      <c r="D3" s="475" t="s">
        <v>3706</v>
      </c>
      <c r="G3" s="359" t="s">
        <v>3127</v>
      </c>
      <c r="H3" s="359" t="s">
        <v>3126</v>
      </c>
    </row>
    <row r="4" spans="1:8" x14ac:dyDescent="0.45">
      <c r="G4" s="359" t="s">
        <v>3382</v>
      </c>
      <c r="H4" s="359" t="s">
        <v>3383</v>
      </c>
    </row>
    <row r="5" spans="1:8" x14ac:dyDescent="0.45">
      <c r="G5" s="359"/>
      <c r="H5" s="359"/>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7" r:id="rId4" name="CommandButton1">
          <controlPr defaultSize="0" autoLine="0" r:id="rId5">
            <anchor moveWithCells="1">
              <from>
                <xdr:col>10</xdr:col>
                <xdr:colOff>400050</xdr:colOff>
                <xdr:row>0</xdr:row>
                <xdr:rowOff>9525</xdr:rowOff>
              </from>
              <to>
                <xdr:col>12</xdr:col>
                <xdr:colOff>409575</xdr:colOff>
                <xdr:row>1</xdr:row>
                <xdr:rowOff>95250</xdr:rowOff>
              </to>
            </anchor>
          </controlPr>
        </control>
      </mc:Choice>
      <mc:Fallback>
        <control shapeId="29697" r:id="rId4" name="CommandButton1"/>
      </mc:Fallback>
    </mc:AlternateContent>
    <mc:AlternateContent xmlns:mc="http://schemas.openxmlformats.org/markup-compatibility/2006">
      <mc:Choice Requires="x14">
        <control shapeId="29698" r:id="rId6" name="btnRelease">
          <controlPr defaultSize="0" disabled="1" autoLine="0" r:id="rId7">
            <anchor moveWithCells="1">
              <from>
                <xdr:col>3</xdr:col>
                <xdr:colOff>4162425</xdr:colOff>
                <xdr:row>0</xdr:row>
                <xdr:rowOff>0</xdr:rowOff>
              </from>
              <to>
                <xdr:col>3</xdr:col>
                <xdr:colOff>4924425</xdr:colOff>
                <xdr:row>1</xdr:row>
                <xdr:rowOff>9525</xdr:rowOff>
              </to>
            </anchor>
          </controlPr>
        </control>
      </mc:Choice>
      <mc:Fallback>
        <control shapeId="29698" r:id="rId6" name="btnRelease"/>
      </mc:Fallback>
    </mc:AlternateContent>
    <mc:AlternateContent xmlns:mc="http://schemas.openxmlformats.org/markup-compatibility/2006">
      <mc:Choice Requires="x14">
        <control shapeId="29699" r:id="rId8" name="btnNewArticle">
          <controlPr defaultSize="0" disabled="1" autoLine="0" r:id="rId9">
            <anchor moveWithCells="1">
              <from>
                <xdr:col>3</xdr:col>
                <xdr:colOff>3333750</xdr:colOff>
                <xdr:row>0</xdr:row>
                <xdr:rowOff>0</xdr:rowOff>
              </from>
              <to>
                <xdr:col>3</xdr:col>
                <xdr:colOff>4095750</xdr:colOff>
                <xdr:row>1</xdr:row>
                <xdr:rowOff>9525</xdr:rowOff>
              </to>
            </anchor>
          </controlPr>
        </control>
      </mc:Choice>
      <mc:Fallback>
        <control shapeId="29699" r:id="rId8" name="btnNewArticle"/>
      </mc:Fallback>
    </mc:AlternateContent>
  </controls>
  <tableParts count="1">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27</vt:i4>
      </vt:variant>
    </vt:vector>
  </HeadingPairs>
  <TitlesOfParts>
    <vt:vector size="45" baseType="lpstr">
      <vt:lpstr>種族</vt:lpstr>
      <vt:lpstr>種族分析</vt:lpstr>
      <vt:lpstr>種族マップ</vt:lpstr>
      <vt:lpstr>通常わざ</vt:lpstr>
      <vt:lpstr>ゲージわざ</vt:lpstr>
      <vt:lpstr>個体</vt:lpstr>
      <vt:lpstr>個体マップ</vt:lpstr>
      <vt:lpstr>ジム</vt:lpstr>
      <vt:lpstr>対戦</vt:lpstr>
      <vt:lpstr>期待個体</vt:lpstr>
      <vt:lpstr>相関</vt:lpstr>
      <vt:lpstr>CPM</vt:lpstr>
      <vt:lpstr>最大値</vt:lpstr>
      <vt:lpstr>タイプ別</vt:lpstr>
      <vt:lpstr>管理</vt:lpstr>
      <vt:lpstr>取説</vt:lpstr>
      <vt:lpstr>利用許諾契約</vt:lpstr>
      <vt:lpstr>Ver</vt:lpstr>
      <vt:lpstr>ゲージわざ種族選択</vt:lpstr>
      <vt:lpstr>ジムバトル設定</vt:lpstr>
      <vt:lpstr>タイプ</vt:lpstr>
      <vt:lpstr>タイプと空白</vt:lpstr>
      <vt:lpstr>タイプ一致係数</vt:lpstr>
      <vt:lpstr>タイプ相関係数</vt:lpstr>
      <vt:lpstr>タイプ略号</vt:lpstr>
      <vt:lpstr>ダミーの敵のパラメータ</vt:lpstr>
      <vt:lpstr>トレーナーバトル係数</vt:lpstr>
      <vt:lpstr>わざの能力変化</vt:lpstr>
      <vt:lpstr>空白</vt:lpstr>
      <vt:lpstr>計数下限順位</vt:lpstr>
      <vt:lpstr>個体マップタイプ選択</vt:lpstr>
      <vt:lpstr>個体マップ元表</vt:lpstr>
      <vt:lpstr>個体マップ個体選択</vt:lpstr>
      <vt:lpstr>個体マップ設定</vt:lpstr>
      <vt:lpstr>種族マップタイプ選択</vt:lpstr>
      <vt:lpstr>種族マップ種族選択</vt:lpstr>
      <vt:lpstr>種族マップ設定</vt:lpstr>
      <vt:lpstr>全体設定</vt:lpstr>
      <vt:lpstr>相性表</vt:lpstr>
      <vt:lpstr>対戦バトル設定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2020-02-04T01:39:50Z</dcterms:modified>
</cp:coreProperties>
</file>