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uktasinha/Desktop/"/>
    </mc:Choice>
  </mc:AlternateContent>
  <xr:revisionPtr revIDLastSave="0" documentId="8_{1A83571A-4E14-1549-83E6-0AB29931922C}" xr6:coauthVersionLast="47" xr6:coauthVersionMax="47" xr10:uidLastSave="{00000000-0000-0000-0000-000000000000}"/>
  <bookViews>
    <workbookView xWindow="0" yWindow="500" windowWidth="28800" windowHeight="16080" activeTab="3" xr2:uid="{C3D4B008-3567-4981-9281-543EFD2BE717}"/>
  </bookViews>
  <sheets>
    <sheet name="Q1-Q3" sheetId="3" r:id="rId1"/>
    <sheet name="Q4&amp;Q5" sheetId="1" r:id="rId2"/>
    <sheet name="Q4_yr1" sheetId="5" r:id="rId3"/>
    <sheet name="Q4_yr2-5"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0" i="1" l="1"/>
  <c r="B49" i="1"/>
  <c r="C51" i="1"/>
  <c r="L5" i="6"/>
  <c r="L4" i="6"/>
  <c r="L3" i="6"/>
  <c r="L2" i="6"/>
  <c r="L4" i="5"/>
  <c r="L5" i="5"/>
  <c r="L6" i="5"/>
  <c r="L3" i="5"/>
  <c r="M13" i="5"/>
  <c r="K13" i="5"/>
  <c r="J6" i="5"/>
  <c r="J3" i="5"/>
  <c r="J3" i="6"/>
  <c r="E21" i="1"/>
  <c r="F16" i="1"/>
  <c r="E15" i="1"/>
  <c r="G15" i="1" s="1"/>
  <c r="O23" i="5" s="1"/>
  <c r="E16" i="1"/>
  <c r="N41" i="3"/>
  <c r="N40" i="3"/>
  <c r="N38" i="3"/>
  <c r="N39" i="3"/>
  <c r="D21" i="3"/>
  <c r="H8" i="3"/>
  <c r="K8" i="3" s="1"/>
  <c r="N15" i="3" s="1"/>
  <c r="H7" i="3"/>
  <c r="K7" i="3" s="1"/>
  <c r="M15" i="3" s="1"/>
  <c r="H6" i="3"/>
  <c r="K6" i="3" s="1"/>
  <c r="L15" i="3" s="1"/>
  <c r="H5" i="3"/>
  <c r="K5" i="3" s="1"/>
  <c r="E18" i="1"/>
  <c r="O26" i="3"/>
  <c r="Q26" i="3" s="1"/>
  <c r="O24" i="3"/>
  <c r="O25" i="3"/>
  <c r="H21" i="3"/>
  <c r="G21" i="3"/>
  <c r="F21" i="3"/>
  <c r="E21" i="3"/>
  <c r="C50" i="1"/>
  <c r="C49" i="1"/>
  <c r="C22" i="6"/>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19" i="6"/>
  <c r="C20" i="6" s="1"/>
  <c r="C21" i="6" s="1"/>
  <c r="H18" i="6"/>
  <c r="C18" i="6"/>
  <c r="H5" i="6"/>
  <c r="J5" i="6" s="1"/>
  <c r="N12" i="6" s="1"/>
  <c r="H4" i="6"/>
  <c r="J4" i="6" s="1"/>
  <c r="M12" i="6" s="1"/>
  <c r="H3" i="6"/>
  <c r="L12" i="6" s="1"/>
  <c r="H2" i="6"/>
  <c r="J2" i="6" s="1"/>
  <c r="K12" i="6" s="1"/>
  <c r="I17" i="6" s="1" a="1"/>
  <c r="I17" i="6" s="1"/>
  <c r="J17" i="6" s="1"/>
  <c r="K17" i="6" s="1"/>
  <c r="O22" i="5"/>
  <c r="H19" i="5"/>
  <c r="G19" i="5"/>
  <c r="F19" i="5"/>
  <c r="E19" i="5"/>
  <c r="D19" i="5"/>
  <c r="C19" i="5"/>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H6" i="5"/>
  <c r="N13" i="5" s="1"/>
  <c r="H5" i="5"/>
  <c r="J5" i="5" s="1"/>
  <c r="H4" i="5"/>
  <c r="J4" i="5" s="1"/>
  <c r="L13" i="5" s="1"/>
  <c r="H3" i="5"/>
  <c r="I18" i="5" s="1" a="1"/>
  <c r="I18" i="5" s="1"/>
  <c r="G16" i="1"/>
  <c r="I16" i="1" s="1"/>
  <c r="F21" i="1"/>
  <c r="H21" i="1" s="1"/>
  <c r="J21" i="1" s="1"/>
  <c r="L21" i="1" s="1"/>
  <c r="F22" i="1"/>
  <c r="H22" i="1" s="1"/>
  <c r="F23" i="1"/>
  <c r="H23" i="1" s="1"/>
  <c r="F24" i="1"/>
  <c r="H24" i="1" s="1"/>
  <c r="F25" i="1"/>
  <c r="H25" i="1" s="1"/>
  <c r="F26" i="1"/>
  <c r="H26" i="1" s="1"/>
  <c r="F27" i="1"/>
  <c r="H27" i="1" s="1"/>
  <c r="J27" i="1" s="1"/>
  <c r="L27" i="1" s="1"/>
  <c r="F28" i="1"/>
  <c r="H28" i="1" s="1"/>
  <c r="F29" i="1"/>
  <c r="H29" i="1" s="1"/>
  <c r="G21" i="1"/>
  <c r="E22" i="1"/>
  <c r="G22" i="1" s="1"/>
  <c r="E23" i="1"/>
  <c r="G23" i="1" s="1"/>
  <c r="E24" i="1"/>
  <c r="G24" i="1" s="1"/>
  <c r="E25" i="1"/>
  <c r="G25" i="1" s="1"/>
  <c r="O25" i="5" s="1"/>
  <c r="E26" i="1"/>
  <c r="G26" i="1" s="1"/>
  <c r="E27" i="1"/>
  <c r="G27" i="1" s="1"/>
  <c r="E28" i="1"/>
  <c r="G28" i="1" s="1"/>
  <c r="E29" i="1"/>
  <c r="G29" i="1" s="1"/>
  <c r="F20" i="1"/>
  <c r="H20" i="1" s="1"/>
  <c r="S24" i="5" s="1"/>
  <c r="E20" i="1"/>
  <c r="G20" i="1" s="1"/>
  <c r="I20" i="1" s="1"/>
  <c r="K20" i="1" s="1"/>
  <c r="H16" i="1"/>
  <c r="J16" i="1" s="1"/>
  <c r="L16" i="1" s="1"/>
  <c r="F17" i="1"/>
  <c r="H17" i="1" s="1"/>
  <c r="F18" i="1"/>
  <c r="H18" i="1" s="1"/>
  <c r="F19" i="1"/>
  <c r="H19" i="1" s="1"/>
  <c r="E17" i="1"/>
  <c r="G17" i="1" s="1"/>
  <c r="G18" i="1"/>
  <c r="I18" i="1" s="1"/>
  <c r="K18" i="1" s="1"/>
  <c r="E19" i="1"/>
  <c r="G19" i="1" s="1"/>
  <c r="O46" i="6" s="1"/>
  <c r="F15" i="1"/>
  <c r="H15" i="1" s="1"/>
  <c r="Q25" i="3"/>
  <c r="O27" i="3"/>
  <c r="C21" i="3"/>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C56" i="3" s="1"/>
  <c r="C57" i="3" s="1"/>
  <c r="C58" i="3" s="1"/>
  <c r="C59" i="3" s="1"/>
  <c r="C60" i="3" s="1"/>
  <c r="C61" i="3" s="1"/>
  <c r="C62" i="3" s="1"/>
  <c r="C63" i="3" s="1"/>
  <c r="C64" i="3" s="1"/>
  <c r="C65" i="3" s="1"/>
  <c r="C66" i="3" s="1"/>
  <c r="C67" i="3" s="1"/>
  <c r="C68" i="3" s="1"/>
  <c r="C69" i="3" s="1"/>
  <c r="C70" i="3" s="1"/>
  <c r="C71" i="3" s="1"/>
  <c r="C72" i="3" s="1"/>
  <c r="C73" i="3" s="1"/>
  <c r="C74" i="3" s="1"/>
  <c r="C75" i="3" s="1"/>
  <c r="C76" i="3" s="1"/>
  <c r="C77" i="3" s="1"/>
  <c r="C78" i="3" s="1"/>
  <c r="C79" i="3" s="1"/>
  <c r="D22" i="3" l="1"/>
  <c r="K15" i="3"/>
  <c r="I20" i="3" s="1" a="1"/>
  <c r="I20" i="3" s="1"/>
  <c r="J20" i="3" s="1"/>
  <c r="K20" i="3" s="1"/>
  <c r="J29" i="1"/>
  <c r="L29" i="1" s="1"/>
  <c r="S48" i="6"/>
  <c r="I15" i="1"/>
  <c r="K15" i="1" s="1"/>
  <c r="I19" i="5" a="1"/>
  <c r="I19" i="5" s="1"/>
  <c r="J19" i="5" s="1"/>
  <c r="N28" i="3"/>
  <c r="N29" i="3"/>
  <c r="Q24" i="3"/>
  <c r="Q27" i="3"/>
  <c r="N42" i="3"/>
  <c r="O38" i="3" s="1"/>
  <c r="J18" i="1"/>
  <c r="L18" i="1" s="1"/>
  <c r="S38" i="6"/>
  <c r="J23" i="1"/>
  <c r="L23" i="1" s="1"/>
  <c r="S39" i="6"/>
  <c r="O30" i="6"/>
  <c r="I17" i="1"/>
  <c r="K17" i="1" s="1"/>
  <c r="S32" i="6"/>
  <c r="O23" i="6"/>
  <c r="I21" i="1"/>
  <c r="K21" i="1" s="1"/>
  <c r="S46" i="6"/>
  <c r="J19" i="1"/>
  <c r="L19" i="1" s="1"/>
  <c r="O32" i="6"/>
  <c r="I27" i="1"/>
  <c r="K27" i="1" s="1"/>
  <c r="O48" i="6"/>
  <c r="I29" i="1"/>
  <c r="K29" i="1" s="1"/>
  <c r="I26" i="1"/>
  <c r="K26" i="1" s="1"/>
  <c r="O24" i="6"/>
  <c r="I25" i="1"/>
  <c r="K25" i="1" s="1"/>
  <c r="O47" i="6"/>
  <c r="P50" i="6" s="1"/>
  <c r="I24" i="1"/>
  <c r="K24" i="1" s="1"/>
  <c r="S25" i="5"/>
  <c r="J25" i="1"/>
  <c r="L25" i="1" s="1"/>
  <c r="I23" i="1"/>
  <c r="K23" i="1" s="1"/>
  <c r="O39" i="6"/>
  <c r="J24" i="1"/>
  <c r="L24" i="1" s="1"/>
  <c r="S47" i="6"/>
  <c r="O22" i="6"/>
  <c r="K16" i="1"/>
  <c r="J22" i="1"/>
  <c r="L22" i="1" s="1"/>
  <c r="S31" i="6"/>
  <c r="I28" i="1"/>
  <c r="K28" i="1" s="1"/>
  <c r="O40" i="6"/>
  <c r="S30" i="6"/>
  <c r="J17" i="1"/>
  <c r="L17" i="1" s="1"/>
  <c r="J26" i="1"/>
  <c r="L26" i="1" s="1"/>
  <c r="S24" i="6"/>
  <c r="S22" i="6"/>
  <c r="S23" i="5"/>
  <c r="J15" i="1"/>
  <c r="L15" i="1" s="1"/>
  <c r="O31" i="6"/>
  <c r="N34" i="6" s="1"/>
  <c r="I22" i="1"/>
  <c r="K22" i="1" s="1"/>
  <c r="O24" i="5"/>
  <c r="N27" i="5" s="1"/>
  <c r="O38" i="6"/>
  <c r="P42" i="6" s="1"/>
  <c r="S23" i="6"/>
  <c r="S40" i="6"/>
  <c r="J28" i="1"/>
  <c r="L28" i="1" s="1"/>
  <c r="I19" i="1"/>
  <c r="K19" i="1" s="1"/>
  <c r="J20" i="1"/>
  <c r="L20" i="1" s="1"/>
  <c r="H19" i="6"/>
  <c r="I18" i="6" a="1"/>
  <c r="I18" i="6" s="1"/>
  <c r="J18" i="6" s="1"/>
  <c r="K18" i="6" s="1"/>
  <c r="G20" i="5"/>
  <c r="F20" i="5"/>
  <c r="H20" i="5"/>
  <c r="J18" i="5"/>
  <c r="K18" i="5" s="1"/>
  <c r="D20" i="5"/>
  <c r="E20" i="5"/>
  <c r="F22" i="3"/>
  <c r="E22" i="3"/>
  <c r="H22" i="3"/>
  <c r="I21" i="3" a="1"/>
  <c r="I21" i="3" s="1"/>
  <c r="J21" i="3" s="1"/>
  <c r="G22" i="3"/>
  <c r="H23" i="3" l="1"/>
  <c r="O41" i="3"/>
  <c r="B37" i="1"/>
  <c r="C37" i="1"/>
  <c r="T42" i="6"/>
  <c r="D23" i="3"/>
  <c r="P42" i="3"/>
  <c r="O39" i="3"/>
  <c r="O40" i="3"/>
  <c r="K19" i="5"/>
  <c r="R41" i="6"/>
  <c r="N33" i="6"/>
  <c r="P34" i="6"/>
  <c r="R50" i="6"/>
  <c r="R42" i="6"/>
  <c r="R34" i="6"/>
  <c r="N26" i="5"/>
  <c r="N50" i="6"/>
  <c r="N49" i="6"/>
  <c r="T34" i="6"/>
  <c r="R26" i="6"/>
  <c r="T26" i="6"/>
  <c r="R33" i="6"/>
  <c r="N41" i="6"/>
  <c r="R27" i="5"/>
  <c r="C35" i="1" s="1"/>
  <c r="T27" i="5"/>
  <c r="T50" i="6"/>
  <c r="R25" i="6"/>
  <c r="R26" i="5"/>
  <c r="N42" i="6"/>
  <c r="R49" i="6"/>
  <c r="P27" i="5"/>
  <c r="N26" i="6"/>
  <c r="B35" i="1" s="1"/>
  <c r="B38" i="1" s="1"/>
  <c r="N25" i="6"/>
  <c r="P26" i="6"/>
  <c r="I19" i="6" a="1"/>
  <c r="I19" i="6" s="1"/>
  <c r="J19" i="6" s="1"/>
  <c r="K19" i="6" s="1"/>
  <c r="H20" i="6"/>
  <c r="G21" i="5"/>
  <c r="I20" i="5" a="1"/>
  <c r="I20" i="5" s="1"/>
  <c r="J20" i="5" s="1"/>
  <c r="K20" i="5" s="1"/>
  <c r="E21" i="5"/>
  <c r="D21" i="5"/>
  <c r="H21" i="5"/>
  <c r="F21" i="5"/>
  <c r="K21" i="3"/>
  <c r="F23" i="3"/>
  <c r="I22" i="3" a="1"/>
  <c r="I22" i="3" s="1"/>
  <c r="J22" i="3" s="1"/>
  <c r="G23" i="3"/>
  <c r="E23" i="3"/>
  <c r="C36" i="1" l="1"/>
  <c r="C39" i="1" s="1"/>
  <c r="B36" i="1"/>
  <c r="B39" i="1" s="1"/>
  <c r="C38" i="1"/>
  <c r="H21" i="6"/>
  <c r="I20" i="6" a="1"/>
  <c r="I20" i="6" s="1"/>
  <c r="J20" i="6" s="1"/>
  <c r="K20" i="6" s="1"/>
  <c r="E22" i="5"/>
  <c r="G22" i="5"/>
  <c r="H22" i="5"/>
  <c r="I21" i="5" a="1"/>
  <c r="I21" i="5" s="1"/>
  <c r="J21" i="5" s="1"/>
  <c r="K21" i="5" s="1"/>
  <c r="F22" i="5"/>
  <c r="D22" i="5"/>
  <c r="K22" i="3"/>
  <c r="H24" i="3"/>
  <c r="I23" i="3" a="1"/>
  <c r="I23" i="3" s="1"/>
  <c r="J23" i="3" s="1"/>
  <c r="G24" i="3"/>
  <c r="E24" i="3"/>
  <c r="F24" i="3"/>
  <c r="D24" i="3"/>
  <c r="F22" i="6" l="1"/>
  <c r="I21" i="6" a="1"/>
  <c r="I21" i="6" s="1"/>
  <c r="I24" i="3" a="1"/>
  <c r="I24" i="3" s="1"/>
  <c r="J24" i="3" s="1"/>
  <c r="H25" i="3"/>
  <c r="H22" i="6"/>
  <c r="G22" i="6"/>
  <c r="E22" i="6"/>
  <c r="J21" i="6"/>
  <c r="K21" i="6" s="1"/>
  <c r="D22" i="6"/>
  <c r="F23" i="6" s="1"/>
  <c r="G23" i="5"/>
  <c r="F23" i="5"/>
  <c r="E23" i="5"/>
  <c r="I22" i="5" a="1"/>
  <c r="I22" i="5" s="1"/>
  <c r="J22" i="5" s="1"/>
  <c r="K22" i="5" s="1"/>
  <c r="D23" i="5"/>
  <c r="H23" i="5"/>
  <c r="K23" i="3"/>
  <c r="G25" i="3"/>
  <c r="F25" i="3"/>
  <c r="D25" i="3"/>
  <c r="E25" i="3"/>
  <c r="G26" i="3" l="1"/>
  <c r="F26" i="3"/>
  <c r="E23" i="6"/>
  <c r="I22" i="6" a="1"/>
  <c r="I22" i="6" s="1"/>
  <c r="J22" i="6" s="1"/>
  <c r="K22" i="6" s="1"/>
  <c r="D23" i="6"/>
  <c r="H23" i="6"/>
  <c r="G23" i="6"/>
  <c r="E24" i="5"/>
  <c r="I23" i="5" a="1"/>
  <c r="I23" i="5" s="1"/>
  <c r="J23" i="5" s="1"/>
  <c r="K23" i="5" s="1"/>
  <c r="G24" i="5"/>
  <c r="H24" i="5"/>
  <c r="F24" i="5"/>
  <c r="D24" i="5"/>
  <c r="K24" i="3"/>
  <c r="I25" i="3" a="1"/>
  <c r="I25" i="3" s="1"/>
  <c r="J25" i="3" s="1"/>
  <c r="D26" i="3"/>
  <c r="H26" i="3"/>
  <c r="E26" i="3"/>
  <c r="H24" i="6" l="1"/>
  <c r="G24" i="6"/>
  <c r="F24" i="6"/>
  <c r="E24" i="6"/>
  <c r="I23" i="6" a="1"/>
  <c r="I23" i="6" s="1"/>
  <c r="J23" i="6" s="1"/>
  <c r="K23" i="6" s="1"/>
  <c r="D24" i="6"/>
  <c r="G25" i="5"/>
  <c r="F25" i="5"/>
  <c r="E25" i="5"/>
  <c r="I24" i="5" a="1"/>
  <c r="I24" i="5" s="1"/>
  <c r="J24" i="5" s="1"/>
  <c r="K24" i="5" s="1"/>
  <c r="D25" i="5"/>
  <c r="H25" i="5"/>
  <c r="K25" i="3"/>
  <c r="H27" i="3"/>
  <c r="I26" i="3" a="1"/>
  <c r="I26" i="3" s="1"/>
  <c r="J26" i="3" s="1"/>
  <c r="F27" i="3"/>
  <c r="G27" i="3"/>
  <c r="E27" i="3"/>
  <c r="D27" i="3"/>
  <c r="E25" i="6" l="1"/>
  <c r="I24" i="6" a="1"/>
  <c r="I24" i="6" s="1"/>
  <c r="J24" i="6" s="1"/>
  <c r="K24" i="6" s="1"/>
  <c r="D25" i="6"/>
  <c r="F25" i="6"/>
  <c r="H25" i="6"/>
  <c r="G25" i="6"/>
  <c r="E26" i="5"/>
  <c r="I25" i="5" a="1"/>
  <c r="I25" i="5" s="1"/>
  <c r="J25" i="5" s="1"/>
  <c r="K25" i="5" s="1"/>
  <c r="G26" i="5"/>
  <c r="H26" i="5"/>
  <c r="F26" i="5"/>
  <c r="D26" i="5"/>
  <c r="K26" i="3"/>
  <c r="F28" i="3"/>
  <c r="G28" i="3"/>
  <c r="E28" i="3"/>
  <c r="D28" i="3"/>
  <c r="I27" i="3" a="1"/>
  <c r="I27" i="3" s="1"/>
  <c r="J27" i="3" s="1"/>
  <c r="H28" i="3"/>
  <c r="H26" i="6" l="1"/>
  <c r="G26" i="6"/>
  <c r="F26" i="6"/>
  <c r="I25" i="6" a="1"/>
  <c r="I25" i="6" s="1"/>
  <c r="J25" i="6" s="1"/>
  <c r="K25" i="6" s="1"/>
  <c r="E26" i="6"/>
  <c r="D26" i="6"/>
  <c r="H27" i="5"/>
  <c r="G27" i="5"/>
  <c r="D27" i="5"/>
  <c r="F27" i="5"/>
  <c r="I26" i="5" a="1"/>
  <c r="I26" i="5" s="1"/>
  <c r="J26" i="5" s="1"/>
  <c r="K26" i="5" s="1"/>
  <c r="E27" i="5"/>
  <c r="K27" i="3"/>
  <c r="I28" i="3" a="1"/>
  <c r="I28" i="3" s="1"/>
  <c r="H29" i="3"/>
  <c r="G29" i="3"/>
  <c r="D29" i="3"/>
  <c r="F29" i="3"/>
  <c r="E29" i="3"/>
  <c r="F27" i="6" l="1"/>
  <c r="E27" i="6"/>
  <c r="I26" i="6" a="1"/>
  <c r="I26" i="6" s="1"/>
  <c r="J26" i="6" s="1"/>
  <c r="K26" i="6" s="1"/>
  <c r="D27" i="6"/>
  <c r="H27" i="6"/>
  <c r="G27" i="6"/>
  <c r="G28" i="5"/>
  <c r="E28" i="5"/>
  <c r="D28" i="5"/>
  <c r="H28" i="5"/>
  <c r="I27" i="5" a="1"/>
  <c r="I27" i="5" s="1"/>
  <c r="J27" i="5" s="1"/>
  <c r="K27" i="5" s="1"/>
  <c r="F28" i="5"/>
  <c r="J28" i="3"/>
  <c r="K28" i="3" s="1"/>
  <c r="F30" i="3"/>
  <c r="E30" i="3"/>
  <c r="I29" i="3" a="1"/>
  <c r="I29" i="3" s="1"/>
  <c r="H30" i="3"/>
  <c r="D30" i="3"/>
  <c r="G30" i="3"/>
  <c r="D28" i="6" l="1"/>
  <c r="H28" i="6"/>
  <c r="G28" i="6"/>
  <c r="F28" i="6"/>
  <c r="E28" i="6"/>
  <c r="I27" i="6" a="1"/>
  <c r="I27" i="6" s="1"/>
  <c r="J27" i="6" s="1"/>
  <c r="K27" i="6" s="1"/>
  <c r="E29" i="5"/>
  <c r="I28" i="5" a="1"/>
  <c r="I28" i="5" s="1"/>
  <c r="J28" i="5" s="1"/>
  <c r="K28" i="5" s="1"/>
  <c r="G29" i="5"/>
  <c r="H29" i="5"/>
  <c r="F29" i="5"/>
  <c r="D29" i="5"/>
  <c r="J29" i="3"/>
  <c r="K29" i="3" s="1"/>
  <c r="I30" i="3" a="1"/>
  <c r="I30" i="3" s="1"/>
  <c r="D31" i="3"/>
  <c r="H31" i="3"/>
  <c r="G31" i="3"/>
  <c r="F31" i="3"/>
  <c r="E31" i="3"/>
  <c r="H29" i="6" l="1"/>
  <c r="G29" i="6"/>
  <c r="I28" i="6" a="1"/>
  <c r="I28" i="6" s="1"/>
  <c r="J28" i="6" s="1"/>
  <c r="K28" i="6" s="1"/>
  <c r="F29" i="6"/>
  <c r="E29" i="6"/>
  <c r="D29" i="6"/>
  <c r="H30" i="5"/>
  <c r="G30" i="5"/>
  <c r="I29" i="5" a="1"/>
  <c r="I29" i="5" s="1"/>
  <c r="J29" i="5" s="1"/>
  <c r="K29" i="5" s="1"/>
  <c r="F30" i="5"/>
  <c r="E30" i="5"/>
  <c r="D30" i="5"/>
  <c r="J30" i="3"/>
  <c r="K30" i="3" s="1"/>
  <c r="I31" i="3" a="1"/>
  <c r="I31" i="3" s="1"/>
  <c r="G32" i="3"/>
  <c r="H32" i="3"/>
  <c r="F32" i="3"/>
  <c r="E32" i="3"/>
  <c r="D32" i="3"/>
  <c r="H30" i="6" l="1"/>
  <c r="G30" i="6"/>
  <c r="I29" i="6" a="1"/>
  <c r="I29" i="6" s="1"/>
  <c r="J29" i="6" s="1"/>
  <c r="K29" i="6" s="1"/>
  <c r="F30" i="6"/>
  <c r="E30" i="6"/>
  <c r="D30" i="6"/>
  <c r="G31" i="5"/>
  <c r="I30" i="5" a="1"/>
  <c r="I30" i="5" s="1"/>
  <c r="J30" i="5" s="1"/>
  <c r="K30" i="5" s="1"/>
  <c r="F31" i="5"/>
  <c r="E31" i="5"/>
  <c r="D31" i="5"/>
  <c r="H31" i="5"/>
  <c r="J31" i="3"/>
  <c r="K31" i="3" s="1"/>
  <c r="I32" i="3" a="1"/>
  <c r="I32" i="3" s="1"/>
  <c r="F33" i="3"/>
  <c r="D33" i="3"/>
  <c r="E33" i="3"/>
  <c r="G33" i="3"/>
  <c r="H33" i="3"/>
  <c r="F31" i="6" l="1"/>
  <c r="E31" i="6"/>
  <c r="D31" i="6"/>
  <c r="I30" i="6" a="1"/>
  <c r="I30" i="6" s="1"/>
  <c r="J30" i="6" s="1"/>
  <c r="K30" i="6" s="1"/>
  <c r="H31" i="6"/>
  <c r="G31" i="6"/>
  <c r="G32" i="5"/>
  <c r="I31" i="5" a="1"/>
  <c r="I31" i="5" s="1"/>
  <c r="J31" i="5" s="1"/>
  <c r="K31" i="5" s="1"/>
  <c r="E32" i="5"/>
  <c r="D32" i="5"/>
  <c r="H32" i="5"/>
  <c r="F32" i="5"/>
  <c r="J32" i="3"/>
  <c r="K32" i="3" s="1"/>
  <c r="I33" i="3" a="1"/>
  <c r="I33" i="3" s="1"/>
  <c r="F34" i="3"/>
  <c r="E34" i="3"/>
  <c r="D34" i="3"/>
  <c r="G34" i="3"/>
  <c r="H34" i="3"/>
  <c r="D32" i="6" l="1"/>
  <c r="H32" i="6"/>
  <c r="G32" i="6"/>
  <c r="F32" i="6"/>
  <c r="E32" i="6"/>
  <c r="I31" i="6" a="1"/>
  <c r="I31" i="6" s="1"/>
  <c r="J31" i="6" s="1"/>
  <c r="K31" i="6" s="1"/>
  <c r="E33" i="5"/>
  <c r="I32" i="5" a="1"/>
  <c r="I32" i="5" s="1"/>
  <c r="J32" i="5" s="1"/>
  <c r="K32" i="5" s="1"/>
  <c r="H33" i="5"/>
  <c r="G33" i="5"/>
  <c r="F33" i="5"/>
  <c r="D33" i="5"/>
  <c r="J33" i="3"/>
  <c r="K33" i="3" s="1"/>
  <c r="I34" i="3" a="1"/>
  <c r="I34" i="3" s="1"/>
  <c r="F35" i="3"/>
  <c r="E35" i="3"/>
  <c r="H35" i="3"/>
  <c r="D35" i="3"/>
  <c r="G35" i="3"/>
  <c r="H33" i="6" l="1"/>
  <c r="G33" i="6"/>
  <c r="I32" i="6" a="1"/>
  <c r="I32" i="6" s="1"/>
  <c r="J32" i="6" s="1"/>
  <c r="K32" i="6" s="1"/>
  <c r="F33" i="6"/>
  <c r="E33" i="6"/>
  <c r="D33" i="6"/>
  <c r="H34" i="5"/>
  <c r="G34" i="5"/>
  <c r="I33" i="5" a="1"/>
  <c r="I33" i="5" s="1"/>
  <c r="J33" i="5" s="1"/>
  <c r="K33" i="5" s="1"/>
  <c r="E34" i="5"/>
  <c r="F34" i="5"/>
  <c r="D34" i="5"/>
  <c r="J34" i="3"/>
  <c r="K34" i="3" s="1"/>
  <c r="I35" i="3" a="1"/>
  <c r="I35" i="3" s="1"/>
  <c r="F36" i="3"/>
  <c r="D36" i="3"/>
  <c r="E36" i="3"/>
  <c r="G36" i="3"/>
  <c r="H36" i="3"/>
  <c r="H34" i="6" l="1"/>
  <c r="G34" i="6"/>
  <c r="I33" i="6" a="1"/>
  <c r="I33" i="6" s="1"/>
  <c r="J33" i="6" s="1"/>
  <c r="K33" i="6" s="1"/>
  <c r="F34" i="6"/>
  <c r="E34" i="6"/>
  <c r="D34" i="6"/>
  <c r="G35" i="5"/>
  <c r="I34" i="5" a="1"/>
  <c r="I34" i="5" s="1"/>
  <c r="J34" i="5" s="1"/>
  <c r="K34" i="5" s="1"/>
  <c r="F35" i="5"/>
  <c r="E35" i="5"/>
  <c r="D35" i="5"/>
  <c r="H35" i="5"/>
  <c r="J35" i="3"/>
  <c r="K35" i="3" s="1"/>
  <c r="D37" i="3"/>
  <c r="H37" i="3"/>
  <c r="F37" i="3"/>
  <c r="G37" i="3"/>
  <c r="E37" i="3"/>
  <c r="I36" i="3" a="1"/>
  <c r="I36" i="3" s="1"/>
  <c r="F35" i="6" l="1"/>
  <c r="E35" i="6"/>
  <c r="D35" i="6"/>
  <c r="G35" i="6"/>
  <c r="I34" i="6" a="1"/>
  <c r="I34" i="6" s="1"/>
  <c r="J34" i="6" s="1"/>
  <c r="K34" i="6" s="1"/>
  <c r="H35" i="6"/>
  <c r="G36" i="5"/>
  <c r="I35" i="5" a="1"/>
  <c r="I35" i="5" s="1"/>
  <c r="J35" i="5" s="1"/>
  <c r="K35" i="5" s="1"/>
  <c r="E36" i="5"/>
  <c r="D36" i="5"/>
  <c r="H36" i="5"/>
  <c r="F36" i="5"/>
  <c r="J36" i="3"/>
  <c r="K36" i="3" s="1"/>
  <c r="G38" i="3"/>
  <c r="I37" i="3" a="1"/>
  <c r="I37" i="3" s="1"/>
  <c r="E38" i="3"/>
  <c r="H38" i="3"/>
  <c r="D38" i="3"/>
  <c r="F38" i="3"/>
  <c r="D36" i="6" l="1"/>
  <c r="H36" i="6"/>
  <c r="G36" i="6"/>
  <c r="E36" i="6"/>
  <c r="F36" i="6"/>
  <c r="I35" i="6" a="1"/>
  <c r="I35" i="6" s="1"/>
  <c r="J35" i="6" s="1"/>
  <c r="K35" i="6" s="1"/>
  <c r="H37" i="5"/>
  <c r="G37" i="5"/>
  <c r="F37" i="5"/>
  <c r="E37" i="5"/>
  <c r="I36" i="5" a="1"/>
  <c r="I36" i="5" s="1"/>
  <c r="J36" i="5" s="1"/>
  <c r="K36" i="5" s="1"/>
  <c r="D37" i="5"/>
  <c r="J37" i="3"/>
  <c r="K37" i="3" s="1"/>
  <c r="F39" i="3"/>
  <c r="G39" i="3"/>
  <c r="E39" i="3"/>
  <c r="I38" i="3" a="1"/>
  <c r="I38" i="3" s="1"/>
  <c r="H39" i="3"/>
  <c r="D39" i="3"/>
  <c r="H37" i="6" l="1"/>
  <c r="G37" i="6"/>
  <c r="I36" i="6" a="1"/>
  <c r="I36" i="6" s="1"/>
  <c r="J36" i="6" s="1"/>
  <c r="K36" i="6" s="1"/>
  <c r="F37" i="6"/>
  <c r="D37" i="6"/>
  <c r="E37" i="6"/>
  <c r="G38" i="5"/>
  <c r="E38" i="5"/>
  <c r="I37" i="5" a="1"/>
  <c r="I37" i="5" s="1"/>
  <c r="J37" i="5" s="1"/>
  <c r="K37" i="5" s="1"/>
  <c r="D38" i="5"/>
  <c r="H38" i="5"/>
  <c r="F38" i="5"/>
  <c r="J38" i="3"/>
  <c r="K38" i="3" s="1"/>
  <c r="I39" i="3" a="1"/>
  <c r="I39" i="3" s="1"/>
  <c r="H40" i="3"/>
  <c r="D40" i="3"/>
  <c r="G40" i="3"/>
  <c r="F40" i="3"/>
  <c r="E40" i="3"/>
  <c r="H38" i="6" l="1"/>
  <c r="G38" i="6"/>
  <c r="I37" i="6" a="1"/>
  <c r="I37" i="6" s="1"/>
  <c r="J37" i="6" s="1"/>
  <c r="K37" i="6" s="1"/>
  <c r="F38" i="6"/>
  <c r="E38" i="6"/>
  <c r="D38" i="6"/>
  <c r="H39" i="5"/>
  <c r="E39" i="5"/>
  <c r="G39" i="5"/>
  <c r="I38" i="5" a="1"/>
  <c r="I38" i="5" s="1"/>
  <c r="J38" i="5" s="1"/>
  <c r="K38" i="5" s="1"/>
  <c r="F39" i="5"/>
  <c r="D39" i="5"/>
  <c r="J39" i="3"/>
  <c r="K39" i="3" s="1"/>
  <c r="E41" i="3"/>
  <c r="D41" i="3"/>
  <c r="I40" i="3" a="1"/>
  <c r="I40" i="3" s="1"/>
  <c r="F41" i="3"/>
  <c r="H41" i="3"/>
  <c r="G41" i="3"/>
  <c r="F39" i="6" l="1"/>
  <c r="E39" i="6"/>
  <c r="D39" i="6"/>
  <c r="H39" i="6"/>
  <c r="G39" i="6"/>
  <c r="I38" i="6" a="1"/>
  <c r="I38" i="6" s="1"/>
  <c r="J38" i="6" s="1"/>
  <c r="K38" i="6" s="1"/>
  <c r="G40" i="5"/>
  <c r="E40" i="5"/>
  <c r="I39" i="5" a="1"/>
  <c r="I39" i="5" s="1"/>
  <c r="J39" i="5" s="1"/>
  <c r="K39" i="5" s="1"/>
  <c r="D40" i="5"/>
  <c r="H40" i="5"/>
  <c r="F40" i="5"/>
  <c r="J40" i="3"/>
  <c r="K40" i="3" s="1"/>
  <c r="E42" i="3"/>
  <c r="I41" i="3" a="1"/>
  <c r="I41" i="3" s="1"/>
  <c r="G42" i="3"/>
  <c r="F42" i="3"/>
  <c r="D42" i="3"/>
  <c r="H42" i="3"/>
  <c r="D40" i="6" l="1"/>
  <c r="H40" i="6"/>
  <c r="F40" i="6"/>
  <c r="G40" i="6"/>
  <c r="E40" i="6"/>
  <c r="I39" i="6" a="1"/>
  <c r="I39" i="6" s="1"/>
  <c r="J39" i="6" s="1"/>
  <c r="K39" i="6" s="1"/>
  <c r="D41" i="5"/>
  <c r="H41" i="5"/>
  <c r="G41" i="5"/>
  <c r="F41" i="5"/>
  <c r="I40" i="5" a="1"/>
  <c r="I40" i="5" s="1"/>
  <c r="J40" i="5" s="1"/>
  <c r="K40" i="5" s="1"/>
  <c r="E41" i="5"/>
  <c r="J41" i="3"/>
  <c r="K41" i="3" s="1"/>
  <c r="F43" i="3"/>
  <c r="H43" i="3"/>
  <c r="I42" i="3" a="1"/>
  <c r="I42" i="3" s="1"/>
  <c r="D43" i="3"/>
  <c r="G43" i="3"/>
  <c r="E43" i="3"/>
  <c r="H41" i="6" l="1"/>
  <c r="G41" i="6"/>
  <c r="I40" i="6" a="1"/>
  <c r="I40" i="6" s="1"/>
  <c r="J40" i="6" s="1"/>
  <c r="K40" i="6" s="1"/>
  <c r="F41" i="6"/>
  <c r="E41" i="6"/>
  <c r="D41" i="6"/>
  <c r="H42" i="5"/>
  <c r="G42" i="5"/>
  <c r="I41" i="5" a="1"/>
  <c r="I41" i="5" s="1"/>
  <c r="J41" i="5" s="1"/>
  <c r="K41" i="5" s="1"/>
  <c r="F42" i="5"/>
  <c r="E42" i="5"/>
  <c r="D42" i="5"/>
  <c r="J42" i="3"/>
  <c r="K42" i="3" s="1"/>
  <c r="I43" i="3" a="1"/>
  <c r="I43" i="3" s="1"/>
  <c r="F44" i="3"/>
  <c r="E44" i="3"/>
  <c r="D44" i="3"/>
  <c r="H44" i="3"/>
  <c r="G44" i="3"/>
  <c r="H42" i="6" l="1"/>
  <c r="G42" i="6"/>
  <c r="I41" i="6" a="1"/>
  <c r="I41" i="6" s="1"/>
  <c r="J41" i="6" s="1"/>
  <c r="K41" i="6" s="1"/>
  <c r="F42" i="6"/>
  <c r="E42" i="6"/>
  <c r="D42" i="6"/>
  <c r="H43" i="5"/>
  <c r="F43" i="5"/>
  <c r="E43" i="5"/>
  <c r="D43" i="5"/>
  <c r="G43" i="5"/>
  <c r="I42" i="5" a="1"/>
  <c r="I42" i="5" s="1"/>
  <c r="J42" i="5" s="1"/>
  <c r="K42" i="5" s="1"/>
  <c r="J43" i="3"/>
  <c r="K43" i="3" s="1"/>
  <c r="I44" i="3" a="1"/>
  <c r="I44" i="3" s="1"/>
  <c r="G45" i="3"/>
  <c r="H45" i="3"/>
  <c r="E45" i="3"/>
  <c r="F45" i="3"/>
  <c r="D45" i="3"/>
  <c r="F43" i="6" l="1"/>
  <c r="E43" i="6"/>
  <c r="D43" i="6"/>
  <c r="H43" i="6"/>
  <c r="G43" i="6"/>
  <c r="I42" i="6" a="1"/>
  <c r="I42" i="6" s="1"/>
  <c r="J42" i="6" s="1"/>
  <c r="K42" i="6" s="1"/>
  <c r="F44" i="5"/>
  <c r="D44" i="5"/>
  <c r="H44" i="5"/>
  <c r="G44" i="5"/>
  <c r="I43" i="5" a="1"/>
  <c r="I43" i="5" s="1"/>
  <c r="J43" i="5" s="1"/>
  <c r="K43" i="5" s="1"/>
  <c r="E44" i="5"/>
  <c r="J44" i="3"/>
  <c r="K44" i="3" s="1"/>
  <c r="E46" i="3"/>
  <c r="H46" i="3"/>
  <c r="G46" i="3"/>
  <c r="I45" i="3" a="1"/>
  <c r="I45" i="3" s="1"/>
  <c r="D46" i="3"/>
  <c r="F46" i="3"/>
  <c r="D44" i="6" l="1"/>
  <c r="H44" i="6"/>
  <c r="I43" i="6" a="1"/>
  <c r="I43" i="6" s="1"/>
  <c r="J43" i="6" s="1"/>
  <c r="K43" i="6" s="1"/>
  <c r="G44" i="6"/>
  <c r="F44" i="6"/>
  <c r="E44" i="6"/>
  <c r="D45" i="5"/>
  <c r="H45" i="5"/>
  <c r="G45" i="5"/>
  <c r="I44" i="5" a="1"/>
  <c r="I44" i="5" s="1"/>
  <c r="J44" i="5" s="1"/>
  <c r="K44" i="5" s="1"/>
  <c r="F45" i="5"/>
  <c r="E45" i="5"/>
  <c r="J45" i="3"/>
  <c r="K45" i="3" s="1"/>
  <c r="G47" i="3"/>
  <c r="H47" i="3"/>
  <c r="E47" i="3"/>
  <c r="D47" i="3"/>
  <c r="I46" i="3" a="1"/>
  <c r="I46" i="3" s="1"/>
  <c r="F47" i="3"/>
  <c r="H45" i="6" l="1"/>
  <c r="G45" i="6"/>
  <c r="I44" i="6" a="1"/>
  <c r="I44" i="6" s="1"/>
  <c r="J44" i="6" s="1"/>
  <c r="K44" i="6" s="1"/>
  <c r="F45" i="6"/>
  <c r="E45" i="6"/>
  <c r="D45" i="6"/>
  <c r="H46" i="5"/>
  <c r="G46" i="5"/>
  <c r="I45" i="5" a="1"/>
  <c r="I45" i="5" s="1"/>
  <c r="J45" i="5" s="1"/>
  <c r="K45" i="5" s="1"/>
  <c r="F46" i="5"/>
  <c r="E46" i="5"/>
  <c r="D46" i="5"/>
  <c r="J46" i="3"/>
  <c r="K46" i="3" s="1"/>
  <c r="E48" i="3"/>
  <c r="I47" i="3" a="1"/>
  <c r="I47" i="3" s="1"/>
  <c r="G48" i="3"/>
  <c r="H48" i="3"/>
  <c r="D48" i="3"/>
  <c r="F48" i="3"/>
  <c r="H46" i="6" l="1"/>
  <c r="G46" i="6"/>
  <c r="I45" i="6" a="1"/>
  <c r="I45" i="6" s="1"/>
  <c r="J45" i="6" s="1"/>
  <c r="K45" i="6" s="1"/>
  <c r="F46" i="6"/>
  <c r="E46" i="6"/>
  <c r="D46" i="6"/>
  <c r="H47" i="5"/>
  <c r="F47" i="5"/>
  <c r="E47" i="5"/>
  <c r="D47" i="5"/>
  <c r="I46" i="5" a="1"/>
  <c r="I46" i="5" s="1"/>
  <c r="J46" i="5" s="1"/>
  <c r="K46" i="5" s="1"/>
  <c r="G47" i="5"/>
  <c r="J47" i="3"/>
  <c r="K47" i="3" s="1"/>
  <c r="I48" i="3" a="1"/>
  <c r="I48" i="3" s="1"/>
  <c r="F49" i="3"/>
  <c r="E49" i="3"/>
  <c r="H49" i="3"/>
  <c r="D49" i="3"/>
  <c r="G49" i="3"/>
  <c r="F47" i="6" l="1"/>
  <c r="E47" i="6"/>
  <c r="D47" i="6"/>
  <c r="H47" i="6"/>
  <c r="G47" i="6"/>
  <c r="I46" i="6" a="1"/>
  <c r="I46" i="6" s="1"/>
  <c r="J46" i="6" s="1"/>
  <c r="K46" i="6" s="1"/>
  <c r="F48" i="5"/>
  <c r="D48" i="5"/>
  <c r="H48" i="5"/>
  <c r="G48" i="5"/>
  <c r="I47" i="5" a="1"/>
  <c r="I47" i="5" s="1"/>
  <c r="J47" i="5" s="1"/>
  <c r="K47" i="5" s="1"/>
  <c r="E48" i="5"/>
  <c r="J48" i="3"/>
  <c r="K48" i="3" s="1"/>
  <c r="I49" i="3" a="1"/>
  <c r="I49" i="3" s="1"/>
  <c r="H50" i="3"/>
  <c r="G50" i="3"/>
  <c r="F50" i="3"/>
  <c r="D50" i="3"/>
  <c r="E50" i="3"/>
  <c r="D48" i="6" l="1"/>
  <c r="H48" i="6"/>
  <c r="E48" i="6"/>
  <c r="I47" i="6" a="1"/>
  <c r="I47" i="6" s="1"/>
  <c r="J47" i="6" s="1"/>
  <c r="K47" i="6" s="1"/>
  <c r="G48" i="6"/>
  <c r="F48" i="6"/>
  <c r="D49" i="5"/>
  <c r="H49" i="5"/>
  <c r="G49" i="5"/>
  <c r="I48" i="5" a="1"/>
  <c r="I48" i="5" s="1"/>
  <c r="J48" i="5" s="1"/>
  <c r="K48" i="5" s="1"/>
  <c r="F49" i="5"/>
  <c r="E49" i="5"/>
  <c r="J49" i="3"/>
  <c r="K49" i="3" s="1"/>
  <c r="H51" i="3"/>
  <c r="G51" i="3"/>
  <c r="I50" i="3" a="1"/>
  <c r="I50" i="3" s="1"/>
  <c r="D51" i="3"/>
  <c r="F51" i="3"/>
  <c r="E51" i="3"/>
  <c r="H49" i="6" l="1"/>
  <c r="G49" i="6"/>
  <c r="I48" i="6" a="1"/>
  <c r="I48" i="6" s="1"/>
  <c r="J48" i="6" s="1"/>
  <c r="K48" i="6" s="1"/>
  <c r="F49" i="6"/>
  <c r="E49" i="6"/>
  <c r="D49" i="6"/>
  <c r="H50" i="5"/>
  <c r="G50" i="5"/>
  <c r="I49" i="5" a="1"/>
  <c r="I49" i="5" s="1"/>
  <c r="J49" i="5" s="1"/>
  <c r="K49" i="5" s="1"/>
  <c r="F50" i="5"/>
  <c r="E50" i="5"/>
  <c r="D50" i="5"/>
  <c r="J50" i="3"/>
  <c r="K50" i="3" s="1"/>
  <c r="I51" i="3" a="1"/>
  <c r="I51" i="3" s="1"/>
  <c r="E52" i="3"/>
  <c r="G52" i="3"/>
  <c r="H52" i="3"/>
  <c r="D52" i="3"/>
  <c r="F52" i="3"/>
  <c r="H50" i="6" l="1"/>
  <c r="G50" i="6"/>
  <c r="I49" i="6" a="1"/>
  <c r="I49" i="6" s="1"/>
  <c r="J49" i="6" s="1"/>
  <c r="K49" i="6" s="1"/>
  <c r="F50" i="6"/>
  <c r="E50" i="6"/>
  <c r="D50" i="6"/>
  <c r="H51" i="5"/>
  <c r="F51" i="5"/>
  <c r="E51" i="5"/>
  <c r="D51" i="5"/>
  <c r="G51" i="5"/>
  <c r="I50" i="5" a="1"/>
  <c r="I50" i="5" s="1"/>
  <c r="J50" i="5" s="1"/>
  <c r="K50" i="5" s="1"/>
  <c r="J51" i="3"/>
  <c r="K51" i="3" s="1"/>
  <c r="F53" i="3"/>
  <c r="I52" i="3" a="1"/>
  <c r="I52" i="3" s="1"/>
  <c r="E53" i="3"/>
  <c r="G53" i="3"/>
  <c r="D53" i="3"/>
  <c r="H53" i="3"/>
  <c r="F51" i="6" l="1"/>
  <c r="E51" i="6"/>
  <c r="D51" i="6"/>
  <c r="H51" i="6"/>
  <c r="G51" i="6"/>
  <c r="I50" i="6" a="1"/>
  <c r="I50" i="6" s="1"/>
  <c r="J50" i="6" s="1"/>
  <c r="K50" i="6" s="1"/>
  <c r="F52" i="5"/>
  <c r="D52" i="5"/>
  <c r="H52" i="5"/>
  <c r="G52" i="5"/>
  <c r="I51" i="5" a="1"/>
  <c r="I51" i="5" s="1"/>
  <c r="J51" i="5" s="1"/>
  <c r="K51" i="5" s="1"/>
  <c r="E52" i="5"/>
  <c r="J52" i="3"/>
  <c r="K52" i="3" s="1"/>
  <c r="F54" i="3"/>
  <c r="E54" i="3"/>
  <c r="G54" i="3"/>
  <c r="D54" i="3"/>
  <c r="I53" i="3" a="1"/>
  <c r="I53" i="3" s="1"/>
  <c r="H54" i="3"/>
  <c r="D52" i="6" l="1"/>
  <c r="H52" i="6"/>
  <c r="E52" i="6"/>
  <c r="I51" i="6" a="1"/>
  <c r="I51" i="6" s="1"/>
  <c r="J51" i="6" s="1"/>
  <c r="K51" i="6" s="1"/>
  <c r="G52" i="6"/>
  <c r="F52" i="6"/>
  <c r="D53" i="5"/>
  <c r="H53" i="5"/>
  <c r="G53" i="5"/>
  <c r="I52" i="5" a="1"/>
  <c r="I52" i="5" s="1"/>
  <c r="J52" i="5" s="1"/>
  <c r="K52" i="5" s="1"/>
  <c r="F53" i="5"/>
  <c r="E53" i="5"/>
  <c r="J53" i="3"/>
  <c r="K53" i="3" s="1"/>
  <c r="E55" i="3"/>
  <c r="H55" i="3"/>
  <c r="G55" i="3"/>
  <c r="D55" i="3"/>
  <c r="I54" i="3" a="1"/>
  <c r="I54" i="3" s="1"/>
  <c r="F55" i="3"/>
  <c r="H53" i="6" l="1"/>
  <c r="G53" i="6"/>
  <c r="I52" i="6" a="1"/>
  <c r="I52" i="6" s="1"/>
  <c r="J52" i="6" s="1"/>
  <c r="K52" i="6" s="1"/>
  <c r="F53" i="6"/>
  <c r="D53" i="6"/>
  <c r="E53" i="6"/>
  <c r="H54" i="5"/>
  <c r="G54" i="5"/>
  <c r="I53" i="5" a="1"/>
  <c r="I53" i="5" s="1"/>
  <c r="J53" i="5" s="1"/>
  <c r="K53" i="5" s="1"/>
  <c r="F54" i="5"/>
  <c r="E54" i="5"/>
  <c r="D54" i="5"/>
  <c r="J54" i="3"/>
  <c r="K54" i="3" s="1"/>
  <c r="H56" i="3"/>
  <c r="D56" i="3"/>
  <c r="F56" i="3"/>
  <c r="G56" i="3"/>
  <c r="E56" i="3"/>
  <c r="I55" i="3" a="1"/>
  <c r="I55" i="3" s="1"/>
  <c r="H54" i="6" l="1"/>
  <c r="G54" i="6"/>
  <c r="I53" i="6" a="1"/>
  <c r="I53" i="6" s="1"/>
  <c r="J53" i="6" s="1"/>
  <c r="K53" i="6" s="1"/>
  <c r="F54" i="6"/>
  <c r="E54" i="6"/>
  <c r="D54" i="6"/>
  <c r="H55" i="5"/>
  <c r="F55" i="5"/>
  <c r="E55" i="5"/>
  <c r="D55" i="5"/>
  <c r="G55" i="5"/>
  <c r="I54" i="5" a="1"/>
  <c r="I54" i="5" s="1"/>
  <c r="J54" i="5" s="1"/>
  <c r="K54" i="5" s="1"/>
  <c r="J55" i="3"/>
  <c r="K55" i="3" s="1"/>
  <c r="G57" i="3"/>
  <c r="D57" i="3"/>
  <c r="E57" i="3"/>
  <c r="H57" i="3"/>
  <c r="F57" i="3"/>
  <c r="I56" i="3" a="1"/>
  <c r="I56" i="3" s="1"/>
  <c r="F55" i="6" l="1"/>
  <c r="E55" i="6"/>
  <c r="D55" i="6"/>
  <c r="I54" i="6" a="1"/>
  <c r="I54" i="6" s="1"/>
  <c r="J54" i="6" s="1"/>
  <c r="K54" i="6" s="1"/>
  <c r="H55" i="6"/>
  <c r="G55" i="6"/>
  <c r="F56" i="5"/>
  <c r="D56" i="5"/>
  <c r="H56" i="5"/>
  <c r="G56" i="5"/>
  <c r="I55" i="5" a="1"/>
  <c r="I55" i="5" s="1"/>
  <c r="J55" i="5" s="1"/>
  <c r="K55" i="5" s="1"/>
  <c r="E56" i="5"/>
  <c r="J56" i="3"/>
  <c r="K56" i="3" s="1"/>
  <c r="G58" i="3"/>
  <c r="F58" i="3"/>
  <c r="D58" i="3"/>
  <c r="E58" i="3"/>
  <c r="I57" i="3" a="1"/>
  <c r="I57" i="3" s="1"/>
  <c r="H58" i="3"/>
  <c r="D56" i="6" l="1"/>
  <c r="H56" i="6"/>
  <c r="G56" i="6"/>
  <c r="F56" i="6"/>
  <c r="E56" i="6"/>
  <c r="I55" i="6" a="1"/>
  <c r="I55" i="6" s="1"/>
  <c r="J55" i="6" s="1"/>
  <c r="K55" i="6" s="1"/>
  <c r="D57" i="5"/>
  <c r="H57" i="5"/>
  <c r="G57" i="5"/>
  <c r="I56" i="5" a="1"/>
  <c r="I56" i="5" s="1"/>
  <c r="J56" i="5" s="1"/>
  <c r="K56" i="5" s="1"/>
  <c r="F57" i="5"/>
  <c r="E57" i="5"/>
  <c r="J57" i="3"/>
  <c r="K57" i="3" s="1"/>
  <c r="E59" i="3"/>
  <c r="I58" i="3" a="1"/>
  <c r="I58" i="3" s="1"/>
  <c r="H59" i="3"/>
  <c r="G59" i="3"/>
  <c r="D59" i="3"/>
  <c r="F59" i="3"/>
  <c r="H57" i="6" l="1"/>
  <c r="G57" i="6"/>
  <c r="I56" i="6" a="1"/>
  <c r="I56" i="6" s="1"/>
  <c r="J56" i="6" s="1"/>
  <c r="K56" i="6" s="1"/>
  <c r="F57" i="6"/>
  <c r="E57" i="6"/>
  <c r="D57" i="6"/>
  <c r="H58" i="5"/>
  <c r="G58" i="5"/>
  <c r="I57" i="5" a="1"/>
  <c r="I57" i="5" s="1"/>
  <c r="J57" i="5" s="1"/>
  <c r="K57" i="5" s="1"/>
  <c r="F58" i="5"/>
  <c r="E58" i="5"/>
  <c r="D58" i="5"/>
  <c r="J58" i="3"/>
  <c r="K58" i="3" s="1"/>
  <c r="I59" i="3" a="1"/>
  <c r="I59" i="3" s="1"/>
  <c r="G60" i="3"/>
  <c r="D60" i="3"/>
  <c r="E60" i="3"/>
  <c r="F60" i="3"/>
  <c r="H60" i="3"/>
  <c r="H58" i="6" l="1"/>
  <c r="G58" i="6"/>
  <c r="I57" i="6" a="1"/>
  <c r="I57" i="6" s="1"/>
  <c r="J57" i="6" s="1"/>
  <c r="K57" i="6" s="1"/>
  <c r="F58" i="6"/>
  <c r="E58" i="6"/>
  <c r="D58" i="6"/>
  <c r="H59" i="5"/>
  <c r="F59" i="5"/>
  <c r="E59" i="5"/>
  <c r="D59" i="5"/>
  <c r="G59" i="5"/>
  <c r="I58" i="5" a="1"/>
  <c r="I58" i="5" s="1"/>
  <c r="J58" i="5" s="1"/>
  <c r="K58" i="5" s="1"/>
  <c r="J59" i="3"/>
  <c r="K59" i="3" s="1"/>
  <c r="E61" i="3"/>
  <c r="D61" i="3"/>
  <c r="I60" i="3" a="1"/>
  <c r="I60" i="3" s="1"/>
  <c r="F61" i="3"/>
  <c r="G61" i="3"/>
  <c r="H61" i="3"/>
  <c r="F59" i="6" l="1"/>
  <c r="E59" i="6"/>
  <c r="D59" i="6"/>
  <c r="I58" i="6" a="1"/>
  <c r="I58" i="6" s="1"/>
  <c r="J58" i="6" s="1"/>
  <c r="K58" i="6" s="1"/>
  <c r="H59" i="6"/>
  <c r="G59" i="6"/>
  <c r="F60" i="5"/>
  <c r="D60" i="5"/>
  <c r="H60" i="5"/>
  <c r="G60" i="5"/>
  <c r="I59" i="5" a="1"/>
  <c r="I59" i="5" s="1"/>
  <c r="J59" i="5" s="1"/>
  <c r="K59" i="5" s="1"/>
  <c r="E60" i="5"/>
  <c r="J60" i="3"/>
  <c r="K60" i="3" s="1"/>
  <c r="H62" i="3"/>
  <c r="E62" i="3"/>
  <c r="F62" i="3"/>
  <c r="D62" i="3"/>
  <c r="G62" i="3"/>
  <c r="I61" i="3" a="1"/>
  <c r="I61" i="3" s="1"/>
  <c r="D60" i="6" l="1"/>
  <c r="H60" i="6"/>
  <c r="G60" i="6"/>
  <c r="F60" i="6"/>
  <c r="E60" i="6"/>
  <c r="I59" i="6" a="1"/>
  <c r="I59" i="6" s="1"/>
  <c r="J59" i="6" s="1"/>
  <c r="K59" i="6" s="1"/>
  <c r="D61" i="5"/>
  <c r="H61" i="5"/>
  <c r="G61" i="5"/>
  <c r="I60" i="5" a="1"/>
  <c r="I60" i="5" s="1"/>
  <c r="J60" i="5" s="1"/>
  <c r="K60" i="5" s="1"/>
  <c r="F61" i="5"/>
  <c r="E61" i="5"/>
  <c r="J61" i="3"/>
  <c r="K61" i="3" s="1"/>
  <c r="I62" i="3" a="1"/>
  <c r="I62" i="3" s="1"/>
  <c r="D63" i="3"/>
  <c r="G63" i="3"/>
  <c r="E63" i="3"/>
  <c r="H63" i="3"/>
  <c r="F63" i="3"/>
  <c r="H61" i="6" l="1"/>
  <c r="G61" i="6"/>
  <c r="I60" i="6" a="1"/>
  <c r="I60" i="6" s="1"/>
  <c r="J60" i="6" s="1"/>
  <c r="K60" i="6" s="1"/>
  <c r="F61" i="6"/>
  <c r="E61" i="6"/>
  <c r="D61" i="6"/>
  <c r="H62" i="5"/>
  <c r="G62" i="5"/>
  <c r="I61" i="5" a="1"/>
  <c r="I61" i="5" s="1"/>
  <c r="J61" i="5" s="1"/>
  <c r="K61" i="5" s="1"/>
  <c r="F62" i="5"/>
  <c r="E62" i="5"/>
  <c r="D62" i="5"/>
  <c r="J62" i="3"/>
  <c r="K62" i="3" s="1"/>
  <c r="H64" i="3"/>
  <c r="D64" i="3"/>
  <c r="G64" i="3"/>
  <c r="I63" i="3" a="1"/>
  <c r="I63" i="3" s="1"/>
  <c r="F64" i="3"/>
  <c r="E64" i="3"/>
  <c r="H62" i="6" l="1"/>
  <c r="G62" i="6"/>
  <c r="I61" i="6" a="1"/>
  <c r="I61" i="6" s="1"/>
  <c r="J61" i="6" s="1"/>
  <c r="K61" i="6" s="1"/>
  <c r="F62" i="6"/>
  <c r="E62" i="6"/>
  <c r="D62" i="6"/>
  <c r="H63" i="5"/>
  <c r="G63" i="5"/>
  <c r="F63" i="5"/>
  <c r="E63" i="5"/>
  <c r="D63" i="5"/>
  <c r="I62" i="5" a="1"/>
  <c r="I62" i="5" s="1"/>
  <c r="J62" i="5" s="1"/>
  <c r="K62" i="5" s="1"/>
  <c r="J63" i="3"/>
  <c r="K63" i="3" s="1"/>
  <c r="I64" i="3" a="1"/>
  <c r="I64" i="3" s="1"/>
  <c r="F65" i="3"/>
  <c r="G65" i="3"/>
  <c r="E65" i="3"/>
  <c r="H65" i="3"/>
  <c r="D65" i="3"/>
  <c r="F63" i="6" l="1"/>
  <c r="E63" i="6"/>
  <c r="D63" i="6"/>
  <c r="H63" i="6"/>
  <c r="G63" i="6"/>
  <c r="I62" i="6" a="1"/>
  <c r="I62" i="6" s="1"/>
  <c r="J62" i="6" s="1"/>
  <c r="K62" i="6" s="1"/>
  <c r="F64" i="5"/>
  <c r="D64" i="5"/>
  <c r="H64" i="5"/>
  <c r="G64" i="5"/>
  <c r="I63" i="5" a="1"/>
  <c r="I63" i="5" s="1"/>
  <c r="J63" i="5" s="1"/>
  <c r="K63" i="5" s="1"/>
  <c r="E64" i="5"/>
  <c r="J64" i="3"/>
  <c r="K64" i="3" s="1"/>
  <c r="F66" i="3"/>
  <c r="I65" i="3" a="1"/>
  <c r="I65" i="3" s="1"/>
  <c r="E66" i="3"/>
  <c r="D66" i="3"/>
  <c r="H66" i="3"/>
  <c r="G66" i="3"/>
  <c r="D64" i="6" l="1"/>
  <c r="G64" i="6"/>
  <c r="H64" i="6"/>
  <c r="I63" i="6" a="1"/>
  <c r="I63" i="6" s="1"/>
  <c r="J63" i="6" s="1"/>
  <c r="K63" i="6" s="1"/>
  <c r="F64" i="6"/>
  <c r="E64" i="6"/>
  <c r="D65" i="5"/>
  <c r="H65" i="5"/>
  <c r="G65" i="5"/>
  <c r="I64" i="5" a="1"/>
  <c r="I64" i="5" s="1"/>
  <c r="J64" i="5" s="1"/>
  <c r="K64" i="5" s="1"/>
  <c r="F65" i="5"/>
  <c r="E65" i="5"/>
  <c r="J65" i="3"/>
  <c r="K65" i="3" s="1"/>
  <c r="E67" i="3"/>
  <c r="D67" i="3"/>
  <c r="G67" i="3"/>
  <c r="H67" i="3"/>
  <c r="I66" i="3" a="1"/>
  <c r="I66" i="3" s="1"/>
  <c r="F67" i="3"/>
  <c r="E65" i="6" l="1"/>
  <c r="H65" i="6"/>
  <c r="G65" i="6"/>
  <c r="I64" i="6" a="1"/>
  <c r="I64" i="6" s="1"/>
  <c r="J64" i="6" s="1"/>
  <c r="K64" i="6" s="1"/>
  <c r="F65" i="6"/>
  <c r="D65" i="6"/>
  <c r="H66" i="5"/>
  <c r="G66" i="5"/>
  <c r="I65" i="5" a="1"/>
  <c r="I65" i="5" s="1"/>
  <c r="J65" i="5" s="1"/>
  <c r="K65" i="5" s="1"/>
  <c r="F66" i="5"/>
  <c r="E66" i="5"/>
  <c r="D66" i="5"/>
  <c r="J66" i="3"/>
  <c r="K66" i="3" s="1"/>
  <c r="F68" i="3"/>
  <c r="E68" i="3"/>
  <c r="D68" i="3"/>
  <c r="H68" i="3"/>
  <c r="I67" i="3" a="1"/>
  <c r="I67" i="3" s="1"/>
  <c r="G68" i="3"/>
  <c r="H66" i="6" l="1"/>
  <c r="G66" i="6"/>
  <c r="I65" i="6" a="1"/>
  <c r="I65" i="6" s="1"/>
  <c r="J65" i="6" s="1"/>
  <c r="K65" i="6" s="1"/>
  <c r="F66" i="6"/>
  <c r="E66" i="6"/>
  <c r="D66" i="6"/>
  <c r="H67" i="5"/>
  <c r="G67" i="5"/>
  <c r="I66" i="5" a="1"/>
  <c r="I66" i="5" s="1"/>
  <c r="J66" i="5" s="1"/>
  <c r="K66" i="5" s="1"/>
  <c r="F67" i="5"/>
  <c r="E67" i="5"/>
  <c r="D67" i="5"/>
  <c r="J67" i="3"/>
  <c r="K67" i="3" s="1"/>
  <c r="I68" i="3" a="1"/>
  <c r="I68" i="3" s="1"/>
  <c r="H69" i="3"/>
  <c r="E69" i="3"/>
  <c r="D69" i="3"/>
  <c r="F69" i="3"/>
  <c r="G69" i="3"/>
  <c r="F67" i="6" l="1"/>
  <c r="E67" i="6"/>
  <c r="D67" i="6"/>
  <c r="I66" i="6" a="1"/>
  <c r="I66" i="6" s="1"/>
  <c r="J66" i="6" s="1"/>
  <c r="K66" i="6" s="1"/>
  <c r="H67" i="6"/>
  <c r="G67" i="6"/>
  <c r="F68" i="5"/>
  <c r="D68" i="5"/>
  <c r="H68" i="5"/>
  <c r="G68" i="5"/>
  <c r="I67" i="5" a="1"/>
  <c r="I67" i="5" s="1"/>
  <c r="J67" i="5" s="1"/>
  <c r="K67" i="5" s="1"/>
  <c r="E68" i="5"/>
  <c r="J68" i="3"/>
  <c r="K68" i="3" s="1"/>
  <c r="F70" i="3"/>
  <c r="I69" i="3" a="1"/>
  <c r="I69" i="3" s="1"/>
  <c r="E70" i="3"/>
  <c r="D70" i="3"/>
  <c r="H70" i="3"/>
  <c r="G70" i="3"/>
  <c r="D68" i="6" l="1"/>
  <c r="G68" i="6"/>
  <c r="H68" i="6"/>
  <c r="I67" i="6" a="1"/>
  <c r="I67" i="6" s="1"/>
  <c r="J67" i="6" s="1"/>
  <c r="K67" i="6" s="1"/>
  <c r="E68" i="6"/>
  <c r="F68" i="6"/>
  <c r="D69" i="5"/>
  <c r="H69" i="5"/>
  <c r="G69" i="5"/>
  <c r="I68" i="5" a="1"/>
  <c r="I68" i="5" s="1"/>
  <c r="J68" i="5" s="1"/>
  <c r="K68" i="5" s="1"/>
  <c r="F69" i="5"/>
  <c r="E69" i="5"/>
  <c r="J69" i="3"/>
  <c r="K69" i="3" s="1"/>
  <c r="I70" i="3" a="1"/>
  <c r="I70" i="3" s="1"/>
  <c r="H71" i="3"/>
  <c r="G71" i="3"/>
  <c r="F71" i="3"/>
  <c r="E71" i="3"/>
  <c r="D71" i="3"/>
  <c r="H69" i="6" l="1"/>
  <c r="G69" i="6"/>
  <c r="I68" i="6" a="1"/>
  <c r="I68" i="6" s="1"/>
  <c r="J68" i="6" s="1"/>
  <c r="K68" i="6" s="1"/>
  <c r="F69" i="6"/>
  <c r="E69" i="6"/>
  <c r="D69" i="6"/>
  <c r="H70" i="5"/>
  <c r="G70" i="5"/>
  <c r="I69" i="5" a="1"/>
  <c r="I69" i="5" s="1"/>
  <c r="J69" i="5" s="1"/>
  <c r="K69" i="5" s="1"/>
  <c r="F70" i="5"/>
  <c r="E70" i="5"/>
  <c r="D70" i="5"/>
  <c r="J70" i="3"/>
  <c r="K70" i="3" s="1"/>
  <c r="I71" i="3" a="1"/>
  <c r="I71" i="3" s="1"/>
  <c r="D72" i="3"/>
  <c r="G72" i="3"/>
  <c r="F72" i="3"/>
  <c r="E72" i="3"/>
  <c r="H72" i="3"/>
  <c r="H70" i="6" l="1"/>
  <c r="G70" i="6"/>
  <c r="I69" i="6" a="1"/>
  <c r="I69" i="6" s="1"/>
  <c r="J69" i="6" s="1"/>
  <c r="K69" i="6" s="1"/>
  <c r="F70" i="6"/>
  <c r="E70" i="6"/>
  <c r="D70" i="6"/>
  <c r="H71" i="5"/>
  <c r="G71" i="5"/>
  <c r="F71" i="5"/>
  <c r="E71" i="5"/>
  <c r="D71" i="5"/>
  <c r="I70" i="5" a="1"/>
  <c r="I70" i="5" s="1"/>
  <c r="J70" i="5" s="1"/>
  <c r="K70" i="5" s="1"/>
  <c r="J71" i="3"/>
  <c r="K71" i="3" s="1"/>
  <c r="G73" i="3"/>
  <c r="I72" i="3" a="1"/>
  <c r="I72" i="3" s="1"/>
  <c r="F73" i="3"/>
  <c r="E73" i="3"/>
  <c r="D73" i="3"/>
  <c r="H73" i="3"/>
  <c r="F71" i="6" l="1"/>
  <c r="E71" i="6"/>
  <c r="D71" i="6"/>
  <c r="H71" i="6"/>
  <c r="G71" i="6"/>
  <c r="I70" i="6" a="1"/>
  <c r="I70" i="6" s="1"/>
  <c r="J70" i="6" s="1"/>
  <c r="K70" i="6" s="1"/>
  <c r="F72" i="5"/>
  <c r="D72" i="5"/>
  <c r="H72" i="5"/>
  <c r="G72" i="5"/>
  <c r="I71" i="5" a="1"/>
  <c r="I71" i="5" s="1"/>
  <c r="J71" i="5" s="1"/>
  <c r="K71" i="5" s="1"/>
  <c r="E72" i="5"/>
  <c r="J72" i="3"/>
  <c r="K72" i="3" s="1"/>
  <c r="I73" i="3" a="1"/>
  <c r="I73" i="3" s="1"/>
  <c r="E74" i="3"/>
  <c r="F74" i="3"/>
  <c r="D74" i="3"/>
  <c r="G74" i="3"/>
  <c r="H74" i="3"/>
  <c r="D72" i="6" l="1"/>
  <c r="I71" i="6" a="1"/>
  <c r="I71" i="6" s="1"/>
  <c r="J71" i="6" s="1"/>
  <c r="K71" i="6" s="1"/>
  <c r="H72" i="6"/>
  <c r="G72" i="6"/>
  <c r="F72" i="6"/>
  <c r="E72" i="6"/>
  <c r="D73" i="5"/>
  <c r="H73" i="5"/>
  <c r="G73" i="5"/>
  <c r="I72" i="5" a="1"/>
  <c r="I72" i="5" s="1"/>
  <c r="J72" i="5" s="1"/>
  <c r="K72" i="5" s="1"/>
  <c r="F73" i="5"/>
  <c r="E73" i="5"/>
  <c r="J73" i="3"/>
  <c r="K73" i="3" s="1"/>
  <c r="E75" i="3"/>
  <c r="D75" i="3"/>
  <c r="H75" i="3"/>
  <c r="G75" i="3"/>
  <c r="F75" i="3"/>
  <c r="I74" i="3" a="1"/>
  <c r="I74" i="3" s="1"/>
  <c r="E73" i="6" l="1"/>
  <c r="H73" i="6"/>
  <c r="G73" i="6"/>
  <c r="I72" i="6" a="1"/>
  <c r="I72" i="6" s="1"/>
  <c r="J72" i="6" s="1"/>
  <c r="K72" i="6" s="1"/>
  <c r="F73" i="6"/>
  <c r="D73" i="6"/>
  <c r="H74" i="5"/>
  <c r="G74" i="5"/>
  <c r="I73" i="5" a="1"/>
  <c r="I73" i="5" s="1"/>
  <c r="J73" i="5" s="1"/>
  <c r="K73" i="5" s="1"/>
  <c r="F74" i="5"/>
  <c r="E74" i="5"/>
  <c r="D74" i="5"/>
  <c r="J74" i="3"/>
  <c r="K74" i="3" s="1"/>
  <c r="F76" i="3"/>
  <c r="H76" i="3"/>
  <c r="G76" i="3"/>
  <c r="D76" i="3"/>
  <c r="E76" i="3"/>
  <c r="I75" i="3" a="1"/>
  <c r="I75" i="3" s="1"/>
  <c r="H74" i="6" l="1"/>
  <c r="G74" i="6"/>
  <c r="I73" i="6" a="1"/>
  <c r="I73" i="6" s="1"/>
  <c r="J73" i="6" s="1"/>
  <c r="K73" i="6" s="1"/>
  <c r="F74" i="6"/>
  <c r="E74" i="6"/>
  <c r="D74" i="6"/>
  <c r="H75" i="5"/>
  <c r="I74" i="5" a="1"/>
  <c r="I74" i="5" s="1"/>
  <c r="J74" i="5" s="1"/>
  <c r="K74" i="5" s="1"/>
  <c r="F75" i="5"/>
  <c r="E75" i="5"/>
  <c r="D75" i="5"/>
  <c r="G75" i="5"/>
  <c r="J75" i="3"/>
  <c r="K75" i="3" s="1"/>
  <c r="D77" i="3"/>
  <c r="I76" i="3" a="1"/>
  <c r="I76" i="3" s="1"/>
  <c r="H77" i="3"/>
  <c r="G77" i="3"/>
  <c r="E77" i="3"/>
  <c r="F77" i="3"/>
  <c r="F75" i="6" l="1"/>
  <c r="E75" i="6"/>
  <c r="D75" i="6"/>
  <c r="H75" i="6"/>
  <c r="G75" i="6"/>
  <c r="I74" i="6" a="1"/>
  <c r="I74" i="6" s="1"/>
  <c r="J74" i="6" s="1"/>
  <c r="K74" i="6" s="1"/>
  <c r="F76" i="5"/>
  <c r="E76" i="5"/>
  <c r="D76" i="5"/>
  <c r="H76" i="5"/>
  <c r="G76" i="5"/>
  <c r="I75" i="5" a="1"/>
  <c r="I75" i="5" s="1"/>
  <c r="J75" i="5" s="1"/>
  <c r="K75" i="5" s="1"/>
  <c r="J76" i="3"/>
  <c r="K76" i="3" s="1"/>
  <c r="I77" i="3" a="1"/>
  <c r="I77" i="3" s="1"/>
  <c r="E78" i="3"/>
  <c r="F78" i="3"/>
  <c r="D78" i="3"/>
  <c r="H78" i="3"/>
  <c r="G78" i="3"/>
  <c r="D76" i="6" l="1"/>
  <c r="I75" i="6" a="1"/>
  <c r="I75" i="6" s="1"/>
  <c r="J75" i="6" s="1"/>
  <c r="K75" i="6" s="1"/>
  <c r="H76" i="6"/>
  <c r="G76" i="6"/>
  <c r="F76" i="6"/>
  <c r="E76" i="6"/>
  <c r="D77" i="5"/>
  <c r="H77" i="5"/>
  <c r="G77" i="5"/>
  <c r="I76" i="5" a="1"/>
  <c r="I76" i="5" s="1"/>
  <c r="J76" i="5" s="1"/>
  <c r="K76" i="5" s="1"/>
  <c r="F77" i="5"/>
  <c r="E77" i="5"/>
  <c r="J77" i="3"/>
  <c r="K77" i="3" s="1"/>
  <c r="F79" i="3"/>
  <c r="H79" i="3"/>
  <c r="D79" i="3"/>
  <c r="G79" i="3"/>
  <c r="E79" i="3"/>
  <c r="I78" i="3" a="1"/>
  <c r="I78" i="3" s="1"/>
  <c r="I76" i="6" l="1" a="1"/>
  <c r="I76" i="6" s="1"/>
  <c r="J76" i="6" s="1"/>
  <c r="K76" i="6" s="1"/>
  <c r="N17" i="6" s="1"/>
  <c r="I77" i="5" a="1"/>
  <c r="I77" i="5" s="1"/>
  <c r="J77" i="5" s="1"/>
  <c r="K77" i="5" s="1"/>
  <c r="N18" i="5" s="1"/>
  <c r="J78" i="3"/>
  <c r="K78" i="3" s="1"/>
  <c r="I79" i="3" a="1"/>
  <c r="I79" i="3" s="1"/>
  <c r="J79" i="3" l="1"/>
  <c r="K79" i="3" s="1"/>
  <c r="K81" i="3" s="1"/>
  <c r="P2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<sst xmlns="http://schemas.openxmlformats.org/spreadsheetml/2006/main" count="358" uniqueCount="130">
  <si>
    <t>Revenue</t>
  </si>
  <si>
    <t>Costs of Service</t>
  </si>
  <si>
    <t>Marketing Costs</t>
  </si>
  <si>
    <t>Profit</t>
  </si>
  <si>
    <t># Phones  for Large Accounts</t>
  </si>
  <si>
    <t>cell phones per contract (on average)</t>
  </si>
  <si>
    <t>Large + No Rebate</t>
  </si>
  <si>
    <t># Phones  for  Small Accounts</t>
  </si>
  <si>
    <t>Large + Rebate</t>
  </si>
  <si>
    <t>Fee for No rebate customers</t>
  </si>
  <si>
    <t>per month per customer</t>
  </si>
  <si>
    <t>Small + No Rebate</t>
  </si>
  <si>
    <t>Fee for Rebate customers</t>
  </si>
  <si>
    <t>Small +  Rebate</t>
  </si>
  <si>
    <t>Transition Matrix</t>
  </si>
  <si>
    <t>Next Period</t>
  </si>
  <si>
    <t>Discount Rate =</t>
  </si>
  <si>
    <t>percent per year</t>
  </si>
  <si>
    <t>Churn</t>
  </si>
  <si>
    <t>Profit Contribution By Customer Type</t>
  </si>
  <si>
    <t>Current</t>
  </si>
  <si>
    <t>State</t>
  </si>
  <si>
    <t>Period</t>
  </si>
  <si>
    <t>Contribution</t>
  </si>
  <si>
    <t>Year</t>
  </si>
  <si>
    <t>Expected Profit</t>
  </si>
  <si>
    <t>Discounted Profit</t>
  </si>
  <si>
    <t>Cume Discounted Profit</t>
  </si>
  <si>
    <t>Q1</t>
  </si>
  <si>
    <t>Original</t>
  </si>
  <si>
    <t>Long term CLV</t>
  </si>
  <si>
    <t>Number of Customers</t>
  </si>
  <si>
    <t>5 Year CLV</t>
  </si>
  <si>
    <t>% of total customers in the segment</t>
  </si>
  <si>
    <t>Total Weighted CLV</t>
  </si>
  <si>
    <t>Q2</t>
  </si>
  <si>
    <t>Total value</t>
  </si>
  <si>
    <t>Is the CLV of rebate customers larger than that of non-rebate customers?</t>
  </si>
  <si>
    <t xml:space="preserve">No, the CLV for rebate customers is smaller than that of the non-rebate customers. 
As shown above, 
CLV of rebate large customers (i.e. $100571.43) is smaller than the CLV of non-rebate large customers (i.e. $134285.71) and 
CLV of rebate small customers (i.e. $20328.85) is smaller than the CLV of non-rebate large customers (i.e. $17050)
Though the rebate customers have smaller churn rates, their CLV is low as they have lower profit margins. 
As shown above, 
Profit margins for rebate large customers is $32000 which is much  smaller than profit margins of non-rebate customers i.e $58000 
Similarly,
Profit margins for rebate small customers is $6200 which is much  smaller than profit margins of non-rebate customers i.e $9300 </t>
  </si>
  <si>
    <t xml:space="preserve">The total value of the customer base at the present is around $498 million.  
This is the sum of (CLV of customer in each segment X No of customers in that segment). 
 The total value of the customer base reflects the valuation of the company. This will help the acquirer in evaluating the right cost for acquiring Syphone, assessing risks and potential profit margins in the future. </t>
  </si>
  <si>
    <t>Q3</t>
  </si>
  <si>
    <t>Segments</t>
  </si>
  <si>
    <t># of customers by the end of 5 years</t>
  </si>
  <si>
    <t>% of total customer #</t>
  </si>
  <si>
    <t>Total</t>
  </si>
  <si>
    <t xml:space="preserve"># of customers by the end of 5 years in a segment = </t>
  </si>
  <si>
    <t xml:space="preserve">Number of customers in the segment X %retention of customers at the end of year 5 (taken from the table) </t>
  </si>
  <si>
    <t>How will the segment representation change?</t>
  </si>
  <si>
    <t xml:space="preserve">- The total number of customers decrease as customers churn over the 5 years. 
- The large and small with no rebates decrease as a percent of total while the large and small with rebate increase as a percent of the total. 
- This happens because the retention rates for the rebate customers is higher than the non-rebate customers </t>
  </si>
  <si>
    <t>Managerial Implications</t>
  </si>
  <si>
    <t>Some of the managerial implications are that:
- The company should continue acquiring more customers because 77% of all customers will have churned after 5 years. 
- The rebate customers will require longer term relationships with customer focused staff.  
- Creating loyalty programs for non-rebate customers (i.e the segments with higher CLV)</t>
  </si>
  <si>
    <t xml:space="preserve">CLV for Large + Rebate Segment = </t>
  </si>
  <si>
    <t>Parameter</t>
  </si>
  <si>
    <t>Segment</t>
  </si>
  <si>
    <t>Plan A</t>
  </si>
  <si>
    <t>Plan B</t>
  </si>
  <si>
    <t>Plan A 
# Prospects</t>
  </si>
  <si>
    <t>Plan B 
# Prospects</t>
  </si>
  <si>
    <t>Plan A 
# Acquired</t>
  </si>
  <si>
    <t>Plan B 
# Acquired</t>
  </si>
  <si>
    <t xml:space="preserve">Plan A
Set up costs </t>
  </si>
  <si>
    <t xml:space="preserve">Plan B
Set up cost </t>
  </si>
  <si>
    <t xml:space="preserve">Plan A
Total Acquisition cost </t>
  </si>
  <si>
    <t xml:space="preserve">
Plan B
Total Acquisition cost </t>
  </si>
  <si>
    <r>
      <t>Pre-Sales Cost per Prospect</t>
    </r>
    <r>
      <rPr>
        <vertAlign val="superscript"/>
        <sz val="11"/>
        <color theme="1"/>
        <rFont val="Calibri"/>
        <family val="2"/>
      </rPr>
      <t>*</t>
    </r>
  </si>
  <si>
    <t>Large</t>
  </si>
  <si>
    <t>Large Rebate</t>
  </si>
  <si>
    <t>Small</t>
  </si>
  <si>
    <t>Small Rebate</t>
  </si>
  <si>
    <r>
      <t>Setup Cost per acquired customer</t>
    </r>
    <r>
      <rPr>
        <vertAlign val="superscript"/>
        <sz val="11"/>
        <color theme="1"/>
        <rFont val="Calibri"/>
        <family val="2"/>
      </rPr>
      <t>**</t>
    </r>
  </si>
  <si>
    <r>
      <t>Acquisition Rate</t>
    </r>
    <r>
      <rPr>
        <vertAlign val="superscript"/>
        <sz val="11"/>
        <color theme="1"/>
        <rFont val="Calibri"/>
        <family val="2"/>
      </rPr>
      <t>*</t>
    </r>
  </si>
  <si>
    <t>Total Marketing Budget/Year</t>
  </si>
  <si>
    <t>Across All Customers</t>
  </si>
  <si>
    <t>$30,000,000 in Year 1; increases $10,000,000 per year thereafter</t>
  </si>
  <si>
    <t>Pre-Sales Prospecting</t>
  </si>
  <si>
    <t>Large Rebate – Year 1</t>
  </si>
  <si>
    <r>
      <t>Budgets</t>
    </r>
    <r>
      <rPr>
        <vertAlign val="superscript"/>
        <sz val="11"/>
        <color theme="1"/>
        <rFont val="Calibri"/>
        <family val="2"/>
      </rPr>
      <t>*</t>
    </r>
  </si>
  <si>
    <t>Large Rebate – Year 2</t>
  </si>
  <si>
    <t>Large Rebate – Year 3</t>
  </si>
  <si>
    <t>Large Rebate – Year 4</t>
  </si>
  <si>
    <t>Large Rebate – Year 5</t>
  </si>
  <si>
    <t>Small – Year 1</t>
  </si>
  <si>
    <t>Small – Year 2</t>
  </si>
  <si>
    <t>Small – Year 3</t>
  </si>
  <si>
    <t>Small – Year 4</t>
  </si>
  <si>
    <t>Small – Year 5</t>
  </si>
  <si>
    <t>Small Rebate – Year 1</t>
  </si>
  <si>
    <t>Small Rebate – Year 2</t>
  </si>
  <si>
    <t>Small Rebate – Year 3</t>
  </si>
  <si>
    <t>Small Rebate – Year 4</t>
  </si>
  <si>
    <t>Small Rebate – Year 5</t>
  </si>
  <si>
    <t>Note: Please check 'Q4_yr1' and 'Q4_yr2-5' tabs for total CLV calculations for year 1 and years 2-5 respectively.</t>
  </si>
  <si>
    <t>Q4</t>
  </si>
  <si>
    <t>Cum CLV Value</t>
  </si>
  <si>
    <t>Cum 5 year Value</t>
  </si>
  <si>
    <t>Cum Cost</t>
  </si>
  <si>
    <t>Note: Not including rention marketing in calculation of cum cost because it is aldready taken into account in Total CLV and 5 year value calculation.</t>
  </si>
  <si>
    <t>ROI Long term</t>
  </si>
  <si>
    <t>ROI 5 yr</t>
  </si>
  <si>
    <t>Therefore, choose Plan A over Plan B because the long term and 5 year ROI values obtained are higher.</t>
  </si>
  <si>
    <t>Q5</t>
  </si>
  <si>
    <t>Prospects</t>
  </si>
  <si>
    <t>Acquisition rate</t>
  </si>
  <si>
    <t>Yield</t>
  </si>
  <si>
    <t>large customer</t>
  </si>
  <si>
    <t>Pre-sales</t>
  </si>
  <si>
    <t>per prospect</t>
  </si>
  <si>
    <t xml:space="preserve">Set up </t>
  </si>
  <si>
    <t>per acquisition</t>
  </si>
  <si>
    <t>CLV Large rebate</t>
  </si>
  <si>
    <t>5 yr large rebate</t>
  </si>
  <si>
    <t>CAC</t>
  </si>
  <si>
    <t>Not worth the cost because CAC&gt;CLV. The plan is not a good one.</t>
  </si>
  <si>
    <t>Gross Margin</t>
  </si>
  <si>
    <t>CLV of Large + No Rebate =</t>
  </si>
  <si>
    <t>Year 1 Plan A</t>
  </si>
  <si>
    <t>Year 1 Plan B</t>
  </si>
  <si>
    <t>CLV</t>
  </si>
  <si>
    <t>Number</t>
  </si>
  <si>
    <t>5 Year Value</t>
  </si>
  <si>
    <t>Note: The table on the right shows the implementation of the plan at year 5 for Small + Rebate customers</t>
  </si>
  <si>
    <t>CLV of Small + Rebate at Year 5 =</t>
  </si>
  <si>
    <t>Year 2 Plan A</t>
  </si>
  <si>
    <t>Year 2 Plan B</t>
  </si>
  <si>
    <t>Year 3 Plan A</t>
  </si>
  <si>
    <t>Year 3 Plan B</t>
  </si>
  <si>
    <t>Year 4 Plan A</t>
  </si>
  <si>
    <t>Year 4 Plan B</t>
  </si>
  <si>
    <t>Year 5 Plan A</t>
  </si>
  <si>
    <t>Year 5 Plan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</si>
</sst>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quot;$&quot;#,##0.00"/>
    <numFmt numFmtId="168" formatCode="_(&quot;$&quot;* #,##0_);_(&quot;$&quot;* \(#,##0\);_(&quot;$&quot;* &quot;-&quot;??_);_(@_)"/>
    <numFmt numFmtId="169" formatCode="0.0000%"/>
  </numFmts>
  <fonts count="10" x14ac:knownFonts="1">
    <font>
      <sz val="11"/>
      <color theme="1"/>
      <name val="Calibri"/>
      <family val="2"/>
      <scheme val="minor"/>
    </font>
    <font>
      <sz val="11"/>
      <color theme="1"/>
      <name val="Calibri"/>
      <family val="2"/>
      <scheme val="minor"/>
    </font>
    <font>
      <sz val="10"/>
      <name val="Arial"/>
      <family val="2"/>
    </font>
    <font>
      <b/>
      <sz val="10"/>
      <name val="Arial"/>
      <family val="2"/>
    </font>
    <font>
      <sz val="11"/>
      <name val="Calibri"/>
      <family val="2"/>
    </font>
    <font>
      <b/>
      <sz val="11"/>
      <color theme="1"/>
      <name val="Calibri"/>
      <family val="2"/>
    </font>
    <font>
      <sz val="11"/>
      <color theme="1"/>
      <name val="Calibri"/>
      <family val="2"/>
    </font>
    <font>
      <vertAlign val="superscript"/>
      <sz val="11"/>
      <color theme="1"/>
      <name val="Calibri"/>
      <family val="2"/>
    </font>
    <font>
      <b/>
      <sz val="11"/>
      <color theme="1"/>
      <name val="Calibri"/>
      <family val="2"/>
      <scheme val="minor"/>
    </font>
    <font>
      <sz val="10"/>
      <color rgb="FF00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rgb="FFC6E0B4"/>
        <bgColor indexed="64"/>
      </patternFill>
    </fill>
    <fill>
      <patternFill patternType="solid">
        <fgColor theme="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s>
  <cellStyleXfs count="6">
    <xf numFmtId="0" fontId="0" fillId="0" borderId="0"/>
    <xf numFmtId="166" fontId="1" fillId="0" borderId="0" applyFont="0" applyFill="0" applyBorder="0" applyAlignment="0" applyProtection="0"/>
    <xf numFmtId="9" fontId="1" fillId="0" borderId="0" applyFont="0" applyFill="0" applyBorder="0" applyAlignment="0" applyProtection="0"/>
    <xf numFmtId="0" fontId="2" fillId="0" borderId="0"/>
    <xf numFmtId="166" fontId="2" fillId="0" borderId="0" applyFont="0" applyFill="0" applyBorder="0" applyAlignment="0" applyProtection="0"/>
    <xf numFmtId="0" fontId="1" fillId="0" borderId="0"/>
  </cellStyleXfs>
  <cellXfs count="120">
    <xf numFmtId="0" fontId="0" fillId="0" borderId="0" xfId="0"/>
    <xf numFmtId="165" fontId="0" fillId="0" borderId="0" xfId="0" applyNumberFormat="1"/>
    <xf numFmtId="164" fontId="0" fillId="0" borderId="0" xfId="0" applyNumberFormat="1"/>
    <xf numFmtId="0" fontId="3" fillId="0" borderId="0" xfId="3" applyFont="1"/>
    <xf numFmtId="0" fontId="2" fillId="0" borderId="0" xfId="3"/>
    <xf numFmtId="0" fontId="2" fillId="0" borderId="1" xfId="3" applyBorder="1"/>
    <xf numFmtId="0" fontId="2" fillId="0" borderId="2" xfId="3" applyBorder="1"/>
    <xf numFmtId="0" fontId="2" fillId="0" borderId="3" xfId="3" applyBorder="1"/>
    <xf numFmtId="0" fontId="3" fillId="0" borderId="0" xfId="3" applyFont="1" applyAlignment="1">
      <alignment horizontal="left"/>
    </xf>
    <xf numFmtId="0" fontId="2" fillId="0" borderId="0" xfId="3" applyAlignment="1">
      <alignment horizontal="center" vertical="top" wrapText="1"/>
    </xf>
    <xf numFmtId="0" fontId="2" fillId="0" borderId="5" xfId="3" applyBorder="1" applyAlignment="1">
      <alignment horizontal="center" vertical="top" wrapText="1"/>
    </xf>
    <xf numFmtId="0" fontId="2" fillId="0" borderId="4" xfId="3" applyBorder="1" applyAlignment="1">
      <alignment horizontal="center" vertical="top" wrapText="1"/>
    </xf>
    <xf numFmtId="0" fontId="4" fillId="0" borderId="5" xfId="3" applyFont="1" applyBorder="1" applyAlignment="1">
      <alignment vertical="center" wrapText="1"/>
    </xf>
    <xf numFmtId="0" fontId="2" fillId="0" borderId="1" xfId="3" applyBorder="1" applyAlignment="1">
      <alignment horizontal="right"/>
    </xf>
    <xf numFmtId="0" fontId="2" fillId="0" borderId="6" xfId="3" applyBorder="1" applyAlignment="1">
      <alignment horizontal="right"/>
    </xf>
    <xf numFmtId="168" fontId="2" fillId="0" borderId="7" xfId="4" applyNumberFormat="1" applyFont="1" applyBorder="1"/>
    <xf numFmtId="164" fontId="2" fillId="0" borderId="8" xfId="3" applyNumberFormat="1" applyBorder="1"/>
    <xf numFmtId="0" fontId="2" fillId="0" borderId="6" xfId="3" applyBorder="1" applyAlignment="1">
      <alignment horizontal="center" vertical="top" wrapText="1"/>
    </xf>
    <xf numFmtId="0" fontId="4" fillId="0" borderId="7" xfId="3" applyFont="1" applyBorder="1" applyAlignment="1">
      <alignment vertical="center" wrapText="1"/>
    </xf>
    <xf numFmtId="0" fontId="4" fillId="0" borderId="8" xfId="3" applyFont="1" applyBorder="1" applyAlignment="1">
      <alignment vertical="center" wrapText="1"/>
    </xf>
    <xf numFmtId="0" fontId="3" fillId="0" borderId="0" xfId="3" applyFont="1" applyAlignment="1">
      <alignment horizontal="right" wrapText="1"/>
    </xf>
    <xf numFmtId="0" fontId="3" fillId="0" borderId="0" xfId="3" applyFont="1" applyAlignment="1">
      <alignment horizontal="center" wrapText="1"/>
    </xf>
    <xf numFmtId="2" fontId="2" fillId="0" borderId="0" xfId="3" applyNumberFormat="1"/>
    <xf numFmtId="167" fontId="2" fillId="0" borderId="0" xfId="3" applyNumberFormat="1"/>
    <xf numFmtId="167" fontId="3" fillId="0" borderId="0" xfId="3" applyNumberFormat="1" applyFont="1"/>
    <xf numFmtId="0" fontId="3" fillId="0" borderId="0" xfId="3" applyFont="1" applyAlignment="1">
      <alignment horizontal="right"/>
    </xf>
    <xf numFmtId="0" fontId="2" fillId="0" borderId="5" xfId="3" applyBorder="1"/>
    <xf numFmtId="0" fontId="2" fillId="0" borderId="7" xfId="3" applyBorder="1"/>
    <xf numFmtId="0" fontId="3" fillId="0" borderId="0" xfId="3" applyFont="1" applyAlignment="1">
      <alignment horizontal="right" vertical="top"/>
    </xf>
    <xf numFmtId="0" fontId="4" fillId="0" borderId="0" xfId="3" applyFont="1" applyAlignment="1">
      <alignment vertical="center" wrapText="1"/>
    </xf>
    <xf numFmtId="0" fontId="3" fillId="0" borderId="1" xfId="3" applyFont="1" applyBorder="1"/>
    <xf numFmtId="166" fontId="2" fillId="0" borderId="0" xfId="1" applyFont="1" applyFill="1" applyBorder="1"/>
    <xf numFmtId="0" fontId="2" fillId="0" borderId="6" xfId="3" applyBorder="1"/>
    <xf numFmtId="0" fontId="1" fillId="0" borderId="4" xfId="5" applyBorder="1"/>
    <xf numFmtId="166" fontId="2" fillId="2" borderId="0" xfId="1" applyFont="1" applyFill="1" applyBorder="1"/>
    <xf numFmtId="166" fontId="2" fillId="2" borderId="5" xfId="1" applyFont="1" applyFill="1" applyBorder="1"/>
    <xf numFmtId="0" fontId="2" fillId="0" borderId="0" xfId="3" applyAlignment="1">
      <alignment horizontal="left" vertical="top"/>
    </xf>
    <xf numFmtId="166" fontId="2" fillId="2" borderId="7" xfId="1" applyFont="1" applyFill="1" applyBorder="1"/>
    <xf numFmtId="0" fontId="2" fillId="2" borderId="5" xfId="3" applyFill="1" applyBorder="1"/>
    <xf numFmtId="0" fontId="2" fillId="2" borderId="8" xfId="3" applyFill="1" applyBorder="1"/>
    <xf numFmtId="9" fontId="2" fillId="0" borderId="0" xfId="2" applyFont="1"/>
    <xf numFmtId="0" fontId="5" fillId="0" borderId="9" xfId="0" applyFont="1" applyBorder="1" applyAlignment="1">
      <alignment vertical="center" wrapText="1"/>
    </xf>
    <xf numFmtId="0" fontId="5" fillId="0" borderId="10" xfId="0" applyFont="1" applyBorder="1" applyAlignment="1">
      <alignment vertical="center" wrapText="1"/>
    </xf>
    <xf numFmtId="0" fontId="6" fillId="0" borderId="12" xfId="0" applyFont="1" applyBorder="1" applyAlignment="1">
      <alignment vertical="center" wrapText="1"/>
    </xf>
    <xf numFmtId="0" fontId="6" fillId="0" borderId="8" xfId="0" applyFont="1" applyBorder="1" applyAlignment="1">
      <alignment vertical="center" wrapText="1"/>
    </xf>
    <xf numFmtId="164" fontId="6" fillId="0" borderId="8" xfId="0" applyNumberFormat="1" applyFont="1" applyBorder="1" applyAlignment="1">
      <alignment vertical="center" wrapText="1"/>
    </xf>
    <xf numFmtId="9" fontId="6" fillId="0" borderId="8" xfId="0" applyNumberFormat="1" applyFont="1" applyBorder="1" applyAlignment="1">
      <alignment vertical="center" wrapText="1"/>
    </xf>
    <xf numFmtId="0" fontId="6" fillId="0" borderId="11" xfId="0" applyFont="1" applyBorder="1" applyAlignment="1">
      <alignment vertical="center" wrapText="1"/>
    </xf>
    <xf numFmtId="0" fontId="0" fillId="0" borderId="12" xfId="0" applyBorder="1" applyAlignment="1">
      <alignment vertical="top" wrapText="1"/>
    </xf>
    <xf numFmtId="0" fontId="0" fillId="0" borderId="11" xfId="0" applyBorder="1" applyAlignment="1">
      <alignment vertical="top" wrapText="1"/>
    </xf>
    <xf numFmtId="168" fontId="2" fillId="0" borderId="0" xfId="1" applyNumberFormat="1" applyFont="1" applyBorder="1"/>
    <xf numFmtId="9" fontId="2" fillId="0" borderId="0" xfId="2" applyFont="1" applyFill="1"/>
    <xf numFmtId="168" fontId="2" fillId="0" borderId="7" xfId="3" applyNumberFormat="1" applyBorder="1"/>
    <xf numFmtId="1" fontId="2" fillId="0" borderId="0" xfId="3" applyNumberFormat="1"/>
    <xf numFmtId="0" fontId="6" fillId="0" borderId="0" xfId="0" applyFont="1" applyAlignment="1">
      <alignment vertical="center" wrapText="1"/>
    </xf>
    <xf numFmtId="1" fontId="2" fillId="0" borderId="0" xfId="3" quotePrefix="1" applyNumberFormat="1"/>
    <xf numFmtId="0" fontId="2" fillId="0" borderId="0" xfId="3" applyAlignment="1">
      <alignment wrapText="1"/>
    </xf>
    <xf numFmtId="0" fontId="2" fillId="0" borderId="0" xfId="3" applyAlignment="1">
      <alignment vertical="top" wrapText="1"/>
    </xf>
    <xf numFmtId="0" fontId="1" fillId="0" borderId="0" xfId="5"/>
    <xf numFmtId="169" fontId="2" fillId="0" borderId="0" xfId="2" applyNumberFormat="1" applyFont="1" applyFill="1" applyBorder="1"/>
    <xf numFmtId="166" fontId="2" fillId="0" borderId="8" xfId="1" applyFont="1" applyBorder="1"/>
    <xf numFmtId="166" fontId="0" fillId="0" borderId="0" xfId="0" applyNumberFormat="1"/>
    <xf numFmtId="3" fontId="0" fillId="0" borderId="0" xfId="0" applyNumberFormat="1"/>
    <xf numFmtId="9" fontId="0" fillId="0" borderId="0" xfId="0" applyNumberFormat="1"/>
    <xf numFmtId="166" fontId="0" fillId="0" borderId="0" xfId="1" applyFont="1"/>
    <xf numFmtId="0" fontId="8" fillId="0" borderId="0" xfId="0" applyFont="1"/>
    <xf numFmtId="0" fontId="0" fillId="2" borderId="0" xfId="0" applyFill="1"/>
    <xf numFmtId="166" fontId="2" fillId="2" borderId="8" xfId="3" applyNumberFormat="1" applyFill="1" applyBorder="1"/>
    <xf numFmtId="168" fontId="2" fillId="0" borderId="5" xfId="1" applyNumberFormat="1" applyFont="1" applyBorder="1"/>
    <xf numFmtId="168" fontId="2" fillId="0" borderId="7" xfId="1" applyNumberFormat="1" applyFont="1" applyBorder="1"/>
    <xf numFmtId="168" fontId="2" fillId="0" borderId="8" xfId="1" applyNumberFormat="1" applyFont="1" applyBorder="1"/>
    <xf numFmtId="0" fontId="3" fillId="0" borderId="14" xfId="3" applyFont="1" applyBorder="1" applyAlignment="1">
      <alignment horizontal="left"/>
    </xf>
    <xf numFmtId="0" fontId="2" fillId="0" borderId="15" xfId="3" applyBorder="1"/>
    <xf numFmtId="0" fontId="2" fillId="0" borderId="10" xfId="3" applyBorder="1"/>
    <xf numFmtId="0" fontId="2" fillId="0" borderId="2" xfId="3" applyBorder="1" applyAlignment="1">
      <alignment horizontal="center" vertical="top" wrapText="1"/>
    </xf>
    <xf numFmtId="0" fontId="2" fillId="0" borderId="3" xfId="3" applyBorder="1" applyAlignment="1">
      <alignment horizontal="center" vertical="top" wrapText="1"/>
    </xf>
    <xf numFmtId="166" fontId="0" fillId="2" borderId="0" xfId="0" applyNumberFormat="1" applyFill="1"/>
    <xf numFmtId="9" fontId="2" fillId="0" borderId="0" xfId="2" applyFont="1" applyFill="1" applyBorder="1"/>
    <xf numFmtId="164" fontId="6" fillId="0" borderId="7" xfId="0" applyNumberFormat="1" applyFont="1" applyBorder="1" applyAlignment="1">
      <alignment vertical="center" wrapText="1"/>
    </xf>
    <xf numFmtId="1" fontId="0" fillId="0" borderId="16" xfId="0" applyNumberFormat="1" applyBorder="1"/>
    <xf numFmtId="165" fontId="0" fillId="0" borderId="16" xfId="0" applyNumberFormat="1" applyBorder="1"/>
    <xf numFmtId="164" fontId="0" fillId="0" borderId="16" xfId="0" applyNumberFormat="1" applyBorder="1"/>
    <xf numFmtId="0" fontId="2" fillId="2" borderId="0" xfId="3" applyFill="1" applyAlignment="1">
      <alignment wrapText="1"/>
    </xf>
    <xf numFmtId="0" fontId="2" fillId="0" borderId="0" xfId="3" applyBorder="1"/>
    <xf numFmtId="0" fontId="2" fillId="0" borderId="0" xfId="3" applyBorder="1" applyAlignment="1">
      <alignment horizontal="center" vertical="top" wrapText="1"/>
    </xf>
    <xf numFmtId="0" fontId="2" fillId="0" borderId="17" xfId="3" applyBorder="1"/>
    <xf numFmtId="0" fontId="2" fillId="0" borderId="17" xfId="3" applyBorder="1" applyAlignment="1">
      <alignment horizontal="center" vertical="top" wrapText="1"/>
    </xf>
    <xf numFmtId="0" fontId="2" fillId="0" borderId="18" xfId="3" applyBorder="1"/>
    <xf numFmtId="0" fontId="2" fillId="0" borderId="19" xfId="3" applyBorder="1"/>
    <xf numFmtId="0" fontId="2" fillId="0" borderId="20" xfId="3" applyBorder="1"/>
    <xf numFmtId="0" fontId="2" fillId="0" borderId="21" xfId="3" applyBorder="1"/>
    <xf numFmtId="0" fontId="2" fillId="3" borderId="0" xfId="3" applyFill="1"/>
    <xf numFmtId="2" fontId="2" fillId="3" borderId="0" xfId="3" applyNumberFormat="1" applyFill="1"/>
    <xf numFmtId="167" fontId="2" fillId="3" borderId="0" xfId="3" applyNumberFormat="1" applyFill="1"/>
    <xf numFmtId="0" fontId="3" fillId="0" borderId="1" xfId="3" applyFont="1" applyBorder="1" applyAlignment="1">
      <alignment horizontal="center"/>
    </xf>
    <xf numFmtId="0" fontId="3" fillId="0" borderId="3" xfId="3" applyFont="1" applyBorder="1" applyAlignment="1">
      <alignment horizontal="center" wrapText="1"/>
    </xf>
    <xf numFmtId="0" fontId="3" fillId="0" borderId="0" xfId="3" applyFont="1" applyAlignment="1">
      <alignment wrapText="1"/>
    </xf>
    <xf numFmtId="0" fontId="2" fillId="2" borderId="0" xfId="3" applyFill="1" applyAlignment="1"/>
    <xf numFmtId="0" fontId="2" fillId="2" borderId="0" xfId="3" applyFill="1" applyAlignment="1">
      <alignment horizontal="left" wrapText="1"/>
    </xf>
    <xf numFmtId="0" fontId="9" fillId="3" borderId="0" xfId="3" applyFont="1" applyFill="1"/>
    <xf numFmtId="2" fontId="9" fillId="3" borderId="0" xfId="3" applyNumberFormat="1" applyFont="1" applyFill="1"/>
    <xf numFmtId="167" fontId="9" fillId="3" borderId="0" xfId="3" applyNumberFormat="1" applyFont="1" applyFill="1"/>
    <xf numFmtId="0" fontId="0" fillId="0" borderId="0" xfId="0" applyBorder="1" applyAlignment="1">
      <alignment vertical="top" wrapText="1"/>
    </xf>
    <xf numFmtId="0" fontId="6" fillId="0" borderId="0" xfId="0" applyFont="1" applyBorder="1" applyAlignment="1">
      <alignment vertical="center" wrapText="1"/>
    </xf>
    <xf numFmtId="164" fontId="6" fillId="0" borderId="0" xfId="0" applyNumberFormat="1" applyFont="1" applyBorder="1" applyAlignment="1">
      <alignment vertical="center" wrapText="1"/>
    </xf>
    <xf numFmtId="1" fontId="0" fillId="0" borderId="0" xfId="0" applyNumberFormat="1" applyBorder="1"/>
    <xf numFmtId="165" fontId="0" fillId="0" borderId="0" xfId="0" applyNumberFormat="1" applyBorder="1"/>
    <xf numFmtId="164" fontId="0" fillId="0" borderId="0" xfId="0" applyNumberFormat="1" applyBorder="1"/>
    <xf numFmtId="0" fontId="0" fillId="0" borderId="0" xfId="0" applyAlignment="1">
      <alignment wrapText="1"/>
    </xf>
    <xf numFmtId="0" fontId="2" fillId="0" borderId="22" xfId="3" applyBorder="1"/>
    <xf numFmtId="168" fontId="2" fillId="0" borderId="23" xfId="3" applyNumberFormat="1" applyBorder="1"/>
    <xf numFmtId="168" fontId="2" fillId="0" borderId="24" xfId="3" applyNumberFormat="1" applyBorder="1"/>
    <xf numFmtId="0" fontId="0" fillId="2" borderId="0" xfId="0" applyFill="1" applyAlignment="1">
      <alignment wrapText="1"/>
    </xf>
    <xf numFmtId="0" fontId="2" fillId="0" borderId="0" xfId="3" applyAlignment="1">
      <alignment horizontal="left" vertical="top" wrapText="1"/>
    </xf>
    <xf numFmtId="0" fontId="2" fillId="2" borderId="0" xfId="3" applyFill="1" applyAlignment="1">
      <alignment horizontal="left" vertical="top" wrapText="1"/>
    </xf>
    <xf numFmtId="0" fontId="1" fillId="2" borderId="0" xfId="5" applyFill="1" applyAlignment="1">
      <alignment horizontal="left" wrapText="1"/>
    </xf>
    <xf numFmtId="0" fontId="3" fillId="4" borderId="0" xfId="3" applyFont="1" applyFill="1" applyAlignment="1">
      <alignment horizontal="center"/>
    </xf>
    <xf numFmtId="0" fontId="6" fillId="0" borderId="13" xfId="0" applyFont="1" applyBorder="1" applyAlignment="1">
      <alignment vertical="center" wrapText="1"/>
    </xf>
    <xf numFmtId="0" fontId="6" fillId="0" borderId="12" xfId="0" applyFont="1" applyBorder="1" applyAlignment="1">
      <alignment vertical="center" wrapText="1"/>
    </xf>
    <xf numFmtId="0" fontId="6" fillId="0" borderId="11" xfId="0" applyFont="1" applyBorder="1" applyAlignment="1">
      <alignment vertical="center" wrapText="1"/>
    </xf>
  </cellXfs>
  <cellStyles count="6">
    <cellStyle name="Currency" xfId="1" builtinId="4"/>
    <cellStyle name="Currency 2" xfId="4" xr:uid="{B337358B-AC83-4626-AA5E-8A429AD84007}"/>
    <cellStyle name="Normal" xfId="0" builtinId="0"/>
    <cellStyle name="Normal 2" xfId="3" xr:uid="{D1859901-2A0E-4635-A94B-F04D10AFDA49}"/>
    <cellStyle name="Normal 2 2" xfId="5" xr:uid="{F10E0E69-CE98-451E-9FAB-B22FBC463B8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61B4-61E0-4AD7-86D9-D976B1BDF583}">
  <dimension ref="B1:R81"/>
  <sheetViews>
    <sheetView topLeftCell="D1" workbookViewId="0">
      <selection activeCell="E9" sqref="E9"/>
    </sheetView>
  </sheetViews>
  <sheetFormatPr baseColWidth="10" defaultColWidth="8.6640625" defaultRowHeight="13" x14ac:dyDescent="0.15"/>
  <cols>
    <col min="1" max="1" width="8.6640625" style="4"/>
    <col min="2" max="2" width="37.1640625" style="4" customWidth="1"/>
    <col min="3" max="3" width="18.83203125" style="4" customWidth="1"/>
    <col min="4" max="4" width="38" style="4" customWidth="1"/>
    <col min="5" max="5" width="16" style="4" customWidth="1"/>
    <col min="6" max="6" width="17" style="4" customWidth="1"/>
    <col min="7" max="7" width="20.33203125" style="4" customWidth="1"/>
    <col min="8" max="8" width="12.1640625" style="4" bestFit="1" customWidth="1"/>
    <col min="9" max="9" width="15.33203125" style="4" customWidth="1"/>
    <col min="10" max="10" width="32" style="4" bestFit="1" customWidth="1"/>
    <col min="11" max="11" width="22.6640625" style="4" customWidth="1"/>
    <col min="12" max="12" width="9.83203125" style="4" bestFit="1" customWidth="1"/>
    <col min="13" max="13" width="73.83203125" style="4" customWidth="1"/>
    <col min="14" max="14" width="38.5" style="4" customWidth="1"/>
    <col min="15" max="15" width="25.6640625" style="4" customWidth="1"/>
    <col min="16" max="16" width="24.83203125" style="4" customWidth="1"/>
    <col min="17" max="17" width="32" style="4" customWidth="1"/>
    <col min="18" max="16384" width="8.6640625" style="4"/>
  </cols>
  <sheetData>
    <row r="1" spans="2:15" x14ac:dyDescent="0.15">
      <c r="D1" s="116"/>
      <c r="E1" s="116"/>
    </row>
    <row r="3" spans="2:15" ht="14" thickBot="1" x14ac:dyDescent="0.2"/>
    <row r="4" spans="2:15" x14ac:dyDescent="0.15">
      <c r="G4" s="5"/>
      <c r="H4" s="6" t="s">
        <v>0</v>
      </c>
      <c r="I4" s="6" t="s">
        <v>1</v>
      </c>
      <c r="J4" s="6" t="s">
        <v>2</v>
      </c>
      <c r="K4" s="7" t="s">
        <v>3</v>
      </c>
    </row>
    <row r="5" spans="2:15" ht="15" x14ac:dyDescent="0.2">
      <c r="B5" t="s">
        <v>4</v>
      </c>
      <c r="C5">
        <v>150</v>
      </c>
      <c r="D5" t="s">
        <v>5</v>
      </c>
      <c r="G5" s="11" t="s">
        <v>6</v>
      </c>
      <c r="H5" s="50">
        <f>C5*C7*12</f>
        <v>180000</v>
      </c>
      <c r="I5" s="50">
        <v>117000</v>
      </c>
      <c r="J5" s="4">
        <v>5000</v>
      </c>
      <c r="K5" s="68">
        <f>H5-I5-J5</f>
        <v>58000</v>
      </c>
    </row>
    <row r="6" spans="2:15" ht="15" x14ac:dyDescent="0.2">
      <c r="B6" t="s">
        <v>7</v>
      </c>
      <c r="C6">
        <v>20</v>
      </c>
      <c r="D6" t="s">
        <v>5</v>
      </c>
      <c r="G6" s="11" t="s">
        <v>8</v>
      </c>
      <c r="H6" s="50">
        <f>C5*C8*12</f>
        <v>144000</v>
      </c>
      <c r="I6" s="50">
        <v>108000</v>
      </c>
      <c r="J6" s="4">
        <v>4000</v>
      </c>
      <c r="K6" s="68">
        <f t="shared" ref="K6:K7" si="0">H6-I6-J6</f>
        <v>32000</v>
      </c>
    </row>
    <row r="7" spans="2:15" ht="15" x14ac:dyDescent="0.2">
      <c r="B7" t="s">
        <v>9</v>
      </c>
      <c r="C7" s="2">
        <v>100</v>
      </c>
      <c r="D7" t="s">
        <v>10</v>
      </c>
      <c r="G7" s="11" t="s">
        <v>11</v>
      </c>
      <c r="H7" s="50">
        <f>C6*C7*12</f>
        <v>24000</v>
      </c>
      <c r="I7" s="50">
        <v>13200</v>
      </c>
      <c r="J7" s="4">
        <v>1500</v>
      </c>
      <c r="K7" s="68">
        <f t="shared" si="0"/>
        <v>9300</v>
      </c>
    </row>
    <row r="8" spans="2:15" ht="16" thickBot="1" x14ac:dyDescent="0.25">
      <c r="B8" t="s">
        <v>12</v>
      </c>
      <c r="C8" s="2">
        <v>80</v>
      </c>
      <c r="D8" t="s">
        <v>10</v>
      </c>
      <c r="G8" s="17" t="s">
        <v>13</v>
      </c>
      <c r="H8" s="69">
        <f>C6*C8*12</f>
        <v>19200</v>
      </c>
      <c r="I8" s="69">
        <v>12000</v>
      </c>
      <c r="J8" s="27">
        <v>1000</v>
      </c>
      <c r="K8" s="70">
        <f>H8-I8-J8</f>
        <v>6200</v>
      </c>
    </row>
    <row r="9" spans="2:15" ht="15" x14ac:dyDescent="0.2">
      <c r="B9"/>
      <c r="C9" s="2"/>
      <c r="D9"/>
    </row>
    <row r="10" spans="2:15" x14ac:dyDescent="0.15">
      <c r="B10" s="3" t="s">
        <v>14</v>
      </c>
    </row>
    <row r="11" spans="2:15" x14ac:dyDescent="0.15">
      <c r="B11" s="88"/>
      <c r="C11" s="87"/>
      <c r="D11" s="6"/>
      <c r="E11" s="6" t="s">
        <v>15</v>
      </c>
      <c r="F11" s="6"/>
      <c r="G11" s="6"/>
      <c r="H11" s="7"/>
      <c r="J11" s="71" t="s">
        <v>16</v>
      </c>
      <c r="K11" s="72"/>
      <c r="L11" s="72">
        <v>10</v>
      </c>
      <c r="M11" s="73" t="s">
        <v>17</v>
      </c>
    </row>
    <row r="12" spans="2:15" ht="41" customHeight="1" x14ac:dyDescent="0.15">
      <c r="B12" s="89"/>
      <c r="C12" s="83"/>
      <c r="D12" s="9" t="s">
        <v>6</v>
      </c>
      <c r="E12" s="9" t="s">
        <v>8</v>
      </c>
      <c r="F12" s="9" t="s">
        <v>11</v>
      </c>
      <c r="G12" s="9" t="s">
        <v>13</v>
      </c>
      <c r="H12" s="10" t="s">
        <v>18</v>
      </c>
    </row>
    <row r="13" spans="2:15" ht="15" x14ac:dyDescent="0.15">
      <c r="B13" s="89"/>
      <c r="C13" s="84" t="s">
        <v>6</v>
      </c>
      <c r="D13" s="29">
        <v>0.55000000000000004</v>
      </c>
      <c r="E13" s="29">
        <v>0.1</v>
      </c>
      <c r="F13" s="29">
        <v>0</v>
      </c>
      <c r="G13" s="29">
        <v>0</v>
      </c>
      <c r="H13" s="12">
        <v>0.35</v>
      </c>
      <c r="J13" s="3" t="s">
        <v>19</v>
      </c>
    </row>
    <row r="14" spans="2:15" ht="28" x14ac:dyDescent="0.15">
      <c r="B14" s="89" t="s">
        <v>20</v>
      </c>
      <c r="C14" s="84" t="s">
        <v>8</v>
      </c>
      <c r="D14" s="29">
        <v>0</v>
      </c>
      <c r="E14" s="29">
        <v>0.75</v>
      </c>
      <c r="F14" s="29">
        <v>0</v>
      </c>
      <c r="G14" s="29">
        <v>0</v>
      </c>
      <c r="H14" s="12">
        <v>0.25</v>
      </c>
      <c r="J14" s="13" t="s">
        <v>21</v>
      </c>
      <c r="K14" s="74" t="s">
        <v>6</v>
      </c>
      <c r="L14" s="74" t="s">
        <v>8</v>
      </c>
      <c r="M14" s="74" t="s">
        <v>11</v>
      </c>
      <c r="N14" s="74" t="s">
        <v>13</v>
      </c>
      <c r="O14" s="75" t="s">
        <v>18</v>
      </c>
    </row>
    <row r="15" spans="2:15" ht="15" x14ac:dyDescent="0.15">
      <c r="B15" s="89" t="s">
        <v>22</v>
      </c>
      <c r="C15" s="84" t="s">
        <v>11</v>
      </c>
      <c r="D15" s="29">
        <v>0</v>
      </c>
      <c r="E15" s="29">
        <v>0</v>
      </c>
      <c r="F15" s="29">
        <v>0.57999999999999996</v>
      </c>
      <c r="G15" s="29">
        <v>0.02</v>
      </c>
      <c r="H15" s="12">
        <v>0.4</v>
      </c>
      <c r="J15" s="14" t="s">
        <v>23</v>
      </c>
      <c r="K15" s="52">
        <f>K5</f>
        <v>58000</v>
      </c>
      <c r="L15" s="52">
        <f>K6</f>
        <v>32000</v>
      </c>
      <c r="M15" s="15">
        <f>K7</f>
        <v>9300</v>
      </c>
      <c r="N15" s="52">
        <f>K8</f>
        <v>6200</v>
      </c>
      <c r="O15" s="16">
        <v>0</v>
      </c>
    </row>
    <row r="16" spans="2:15" ht="15" x14ac:dyDescent="0.15">
      <c r="B16" s="89"/>
      <c r="C16" s="84" t="s">
        <v>13</v>
      </c>
      <c r="D16" s="29">
        <v>0</v>
      </c>
      <c r="E16" s="29">
        <v>0</v>
      </c>
      <c r="F16" s="29">
        <v>0</v>
      </c>
      <c r="G16" s="29">
        <v>0.7</v>
      </c>
      <c r="H16" s="12">
        <v>0.3</v>
      </c>
    </row>
    <row r="17" spans="2:17" ht="15" x14ac:dyDescent="0.15">
      <c r="B17" s="90"/>
      <c r="C17" s="86" t="s">
        <v>18</v>
      </c>
      <c r="D17" s="18">
        <v>0</v>
      </c>
      <c r="E17" s="18">
        <v>0</v>
      </c>
      <c r="F17" s="18">
        <v>0</v>
      </c>
      <c r="G17" s="18">
        <v>0</v>
      </c>
      <c r="H17" s="19">
        <v>1</v>
      </c>
    </row>
    <row r="18" spans="2:17" x14ac:dyDescent="0.15">
      <c r="L18" s="23"/>
    </row>
    <row r="19" spans="2:17" ht="14" x14ac:dyDescent="0.15">
      <c r="C19" s="20" t="s">
        <v>24</v>
      </c>
      <c r="D19" s="21" t="s">
        <v>6</v>
      </c>
      <c r="E19" s="21" t="s">
        <v>8</v>
      </c>
      <c r="F19" s="21" t="s">
        <v>11</v>
      </c>
      <c r="G19" s="21" t="s">
        <v>13</v>
      </c>
      <c r="H19" s="21" t="s">
        <v>18</v>
      </c>
      <c r="I19" s="21" t="s">
        <v>25</v>
      </c>
      <c r="J19" s="21" t="s">
        <v>26</v>
      </c>
      <c r="K19" s="21" t="s">
        <v>27</v>
      </c>
    </row>
    <row r="20" spans="2:17" x14ac:dyDescent="0.15">
      <c r="C20" s="4">
        <v>1</v>
      </c>
      <c r="D20" s="22">
        <v>0</v>
      </c>
      <c r="E20" s="22">
        <v>1</v>
      </c>
      <c r="F20" s="22">
        <v>0</v>
      </c>
      <c r="G20" s="22">
        <v>0</v>
      </c>
      <c r="H20" s="22">
        <v>0</v>
      </c>
      <c r="I20" s="23" cm="1">
        <f t="array" ref="I20">SUMPRODUCT(D20:H20*$K$15:$O$15)</f>
        <v>32000</v>
      </c>
      <c r="J20" s="23">
        <f>I20/(1+$L$11/(100))^(C20-1)</f>
        <v>32000</v>
      </c>
      <c r="K20" s="23">
        <f>J20</f>
        <v>32000</v>
      </c>
      <c r="M20" s="3"/>
      <c r="N20" s="24"/>
    </row>
    <row r="21" spans="2:17" x14ac:dyDescent="0.15">
      <c r="C21" s="4">
        <f t="shared" ref="C21:C79" si="1">C20+1</f>
        <v>2</v>
      </c>
      <c r="D21" s="22">
        <f>D20*$D$13+E20*$D$14+F20*$D$15+G20*$D$16+ H20*$D$17</f>
        <v>0</v>
      </c>
      <c r="E21" s="22">
        <f>D20*$E$13+E20*$E$14+F20*$E$15+G20*$E$16+H20*$E$17</f>
        <v>0.75</v>
      </c>
      <c r="F21" s="22">
        <f>D20*$F$13+E20*$F$14+F20*$F$15+G20*$F$16+H20*$F$17</f>
        <v>0</v>
      </c>
      <c r="G21" s="22">
        <f>D20*$G$13+E20*$G$14+F20*$G$15+G20*$G$16+H20*$G$17</f>
        <v>0</v>
      </c>
      <c r="H21" s="22">
        <f>D20*$H$13+E20*$H$14+F20*$H$15+G20*$H$16+H20*$H$17</f>
        <v>0.25</v>
      </c>
      <c r="I21" s="23" cm="1">
        <f t="array" ref="I21">SUMPRODUCT(D21:H21*$K$15:$O$15)</f>
        <v>24000</v>
      </c>
      <c r="J21" s="23">
        <f>I21/(1+$L$11/(100))^(C21-1)</f>
        <v>21818.181818181816</v>
      </c>
      <c r="K21" s="23">
        <f t="shared" ref="K21:K79" si="2">K20+J21</f>
        <v>53818.181818181816</v>
      </c>
    </row>
    <row r="22" spans="2:17" ht="14" thickBot="1" x14ac:dyDescent="0.2">
      <c r="C22" s="4">
        <f t="shared" si="1"/>
        <v>3</v>
      </c>
      <c r="D22" s="22">
        <f>D21*$D$13+E21*$D$14+F21*$D$15+G21*$D$16+ H21*$D$17</f>
        <v>0</v>
      </c>
      <c r="E22" s="22">
        <f t="shared" ref="E22:E79" si="3">D21*$E$13+E21*$E$14+F21*$E$15+G21*$E$16+H21*$E$17</f>
        <v>0.5625</v>
      </c>
      <c r="F22" s="22">
        <f t="shared" ref="F22:F79" si="4">D21*$F$13+E21*$F$14+F21*$F$15+G21*$F$16+H21*$F$17</f>
        <v>0</v>
      </c>
      <c r="G22" s="22">
        <f t="shared" ref="G22:G79" si="5">D21*$G$13+E21*$G$14+F21*$G$15+G21*$G$16+H21*$G$17</f>
        <v>0</v>
      </c>
      <c r="H22" s="22">
        <f t="shared" ref="H22:H79" si="6">D21*$H$13+E21*$H$14+F21*$H$15+G21*$H$16+H21*$H$17</f>
        <v>0.4375</v>
      </c>
      <c r="I22" s="23" cm="1">
        <f t="array" ref="I22">SUMPRODUCT(D22:H22*$K$15:$O$15)</f>
        <v>18000</v>
      </c>
      <c r="J22" s="23">
        <f t="shared" ref="J22:J79" si="7">I22/(1+$L$11/(100))^(C22-1)</f>
        <v>14876.033057851237</v>
      </c>
      <c r="K22" s="23">
        <f t="shared" si="2"/>
        <v>68694.214876033046</v>
      </c>
    </row>
    <row r="23" spans="2:17" x14ac:dyDescent="0.15">
      <c r="C23" s="4">
        <f t="shared" si="1"/>
        <v>4</v>
      </c>
      <c r="D23" s="22">
        <f>D22*$D$13+E22*$D$14+F22*$D$15+G22*$D$16+ H22*$D$17</f>
        <v>0</v>
      </c>
      <c r="E23" s="22">
        <f t="shared" si="3"/>
        <v>0.421875</v>
      </c>
      <c r="F23" s="22">
        <f t="shared" si="4"/>
        <v>0</v>
      </c>
      <c r="G23" s="22">
        <f t="shared" si="5"/>
        <v>0</v>
      </c>
      <c r="H23" s="22">
        <f>D22*$H$13+E22*$H$14+F22*$H$15+G22*$H$16+H22*$H$17</f>
        <v>0.578125</v>
      </c>
      <c r="I23" s="23" cm="1">
        <f t="array" ref="I23">SUMPRODUCT(D23:H23*$K$15:$O$15)</f>
        <v>13500</v>
      </c>
      <c r="J23" s="23">
        <f t="shared" si="7"/>
        <v>10142.749812171296</v>
      </c>
      <c r="K23" s="23">
        <f t="shared" si="2"/>
        <v>78836.964688204345</v>
      </c>
      <c r="L23" s="25" t="s">
        <v>28</v>
      </c>
      <c r="M23" s="30" t="s">
        <v>29</v>
      </c>
      <c r="N23" s="6" t="s">
        <v>30</v>
      </c>
      <c r="O23" s="6" t="s">
        <v>31</v>
      </c>
      <c r="P23" s="7" t="s">
        <v>32</v>
      </c>
      <c r="Q23" s="4" t="s">
        <v>33</v>
      </c>
    </row>
    <row r="24" spans="2:17" ht="14" x14ac:dyDescent="0.15">
      <c r="C24" s="91">
        <f t="shared" si="1"/>
        <v>5</v>
      </c>
      <c r="D24" s="92">
        <f t="shared" ref="D24:D79" si="8">D23*$D$13+E23*$D$14+F23*$D$15+G23*$D$16+ H23*$D$17</f>
        <v>0</v>
      </c>
      <c r="E24" s="92">
        <f t="shared" si="3"/>
        <v>0.31640625</v>
      </c>
      <c r="F24" s="92">
        <f t="shared" si="4"/>
        <v>0</v>
      </c>
      <c r="G24" s="92">
        <f t="shared" si="5"/>
        <v>0</v>
      </c>
      <c r="H24" s="92">
        <f t="shared" si="6"/>
        <v>0.68359375</v>
      </c>
      <c r="I24" s="93" cm="1">
        <f t="array" ref="I24">SUMPRODUCT(D24:H24*$K$15:$O$15)</f>
        <v>10125</v>
      </c>
      <c r="J24" s="93">
        <f>I24/(1+$L$11/(100))^(C24-1)</f>
        <v>6915.5112355713391</v>
      </c>
      <c r="K24" s="93">
        <f t="shared" si="2"/>
        <v>85752.475923775681</v>
      </c>
      <c r="M24" s="11" t="s">
        <v>6</v>
      </c>
      <c r="N24" s="34">
        <v>134285.71428044728</v>
      </c>
      <c r="O24" s="4">
        <f>2500*(1-0.8)</f>
        <v>499.99999999999989</v>
      </c>
      <c r="P24" s="35">
        <v>124251.23796188799</v>
      </c>
      <c r="Q24" s="40">
        <f>O24/15000</f>
        <v>3.3333333333333326E-2</v>
      </c>
    </row>
    <row r="25" spans="2:17" ht="14" x14ac:dyDescent="0.15">
      <c r="C25" s="4">
        <f t="shared" si="1"/>
        <v>6</v>
      </c>
      <c r="D25" s="22">
        <f t="shared" si="8"/>
        <v>0</v>
      </c>
      <c r="E25" s="22">
        <f t="shared" si="3"/>
        <v>0.2373046875</v>
      </c>
      <c r="F25" s="22">
        <f t="shared" si="4"/>
        <v>0</v>
      </c>
      <c r="G25" s="22">
        <f t="shared" si="5"/>
        <v>0</v>
      </c>
      <c r="H25" s="22">
        <f>D24*$H$13+E24*$H$14+F24*$H$15+G24*$H$16+H24*$H$17</f>
        <v>0.7626953125</v>
      </c>
      <c r="I25" s="23" cm="1">
        <f t="array" ref="I25">SUMPRODUCT(D25:H25*$K$15:$O$15)</f>
        <v>7593.75</v>
      </c>
      <c r="J25" s="23">
        <f t="shared" si="7"/>
        <v>4715.1212969804583</v>
      </c>
      <c r="K25" s="23">
        <f t="shared" si="2"/>
        <v>90467.597220756143</v>
      </c>
      <c r="M25" s="11" t="s">
        <v>8</v>
      </c>
      <c r="N25" s="34">
        <v>100571.428560895</v>
      </c>
      <c r="O25" s="4">
        <f>2500*0.8</f>
        <v>2000</v>
      </c>
      <c r="P25" s="35">
        <v>85752.475923775695</v>
      </c>
      <c r="Q25" s="40">
        <f t="shared" ref="Q25:Q27" si="9">O25/15000</f>
        <v>0.13333333333333333</v>
      </c>
    </row>
    <row r="26" spans="2:17" ht="14" x14ac:dyDescent="0.15">
      <c r="C26" s="4">
        <f t="shared" si="1"/>
        <v>7</v>
      </c>
      <c r="D26" s="22">
        <f t="shared" si="8"/>
        <v>0</v>
      </c>
      <c r="E26" s="22">
        <f t="shared" si="3"/>
        <v>0.177978515625</v>
      </c>
      <c r="F26" s="22">
        <f>D25*$F$13+E25*$F$14+F25*$F$15+G25*$F$16+H25*$F$17</f>
        <v>0</v>
      </c>
      <c r="G26" s="22">
        <f>D25*$G$13+E25*$G$14+F25*$G$15+G25*$G$16+H25*$G$17</f>
        <v>0</v>
      </c>
      <c r="H26" s="22">
        <f t="shared" si="6"/>
        <v>0.822021484375</v>
      </c>
      <c r="I26" s="23" cm="1">
        <f t="array" ref="I26">SUMPRODUCT(D26:H26*$K$15:$O$15)</f>
        <v>5695.3125</v>
      </c>
      <c r="J26" s="23">
        <f t="shared" si="7"/>
        <v>3214.8554297594028</v>
      </c>
      <c r="K26" s="23">
        <f t="shared" si="2"/>
        <v>93682.452650515552</v>
      </c>
      <c r="M26" s="11" t="s">
        <v>11</v>
      </c>
      <c r="N26" s="34">
        <v>20328.846153841412</v>
      </c>
      <c r="O26" s="4">
        <f>(15000-2500)*(1-0.6)</f>
        <v>5000</v>
      </c>
      <c r="P26" s="35">
        <v>19319.611950003415</v>
      </c>
      <c r="Q26" s="40">
        <f t="shared" si="9"/>
        <v>0.33333333333333331</v>
      </c>
    </row>
    <row r="27" spans="2:17" ht="14" x14ac:dyDescent="0.15">
      <c r="C27" s="4">
        <f t="shared" si="1"/>
        <v>8</v>
      </c>
      <c r="D27" s="22">
        <f t="shared" si="8"/>
        <v>0</v>
      </c>
      <c r="E27" s="22">
        <f t="shared" si="3"/>
        <v>0.13348388671875</v>
      </c>
      <c r="F27" s="22">
        <f t="shared" si="4"/>
        <v>0</v>
      </c>
      <c r="G27" s="22">
        <f t="shared" si="5"/>
        <v>0</v>
      </c>
      <c r="H27" s="22">
        <f t="shared" si="6"/>
        <v>0.86651611328125</v>
      </c>
      <c r="I27" s="23" cm="1">
        <f t="array" ref="I27">SUMPRODUCT(D27:H27*$K$15:$O$15)</f>
        <v>4271.484375</v>
      </c>
      <c r="J27" s="23">
        <f t="shared" si="7"/>
        <v>2191.9468839268652</v>
      </c>
      <c r="K27" s="23">
        <f t="shared" si="2"/>
        <v>95874.399534442418</v>
      </c>
      <c r="M27" s="11" t="s">
        <v>13</v>
      </c>
      <c r="N27" s="34">
        <v>17049.999999971551</v>
      </c>
      <c r="O27" s="4">
        <f>(15000-2500)*0.6</f>
        <v>7500</v>
      </c>
      <c r="P27" s="35">
        <v>15270.691892630281</v>
      </c>
      <c r="Q27" s="40">
        <f t="shared" si="9"/>
        <v>0.5</v>
      </c>
    </row>
    <row r="28" spans="2:17" ht="15" x14ac:dyDescent="0.2">
      <c r="C28" s="4">
        <f t="shared" si="1"/>
        <v>9</v>
      </c>
      <c r="D28" s="22">
        <f t="shared" si="8"/>
        <v>0</v>
      </c>
      <c r="E28" s="22">
        <f t="shared" si="3"/>
        <v>0.1001129150390625</v>
      </c>
      <c r="F28" s="22">
        <f t="shared" si="4"/>
        <v>0</v>
      </c>
      <c r="G28" s="22">
        <f t="shared" si="5"/>
        <v>0</v>
      </c>
      <c r="H28" s="22">
        <f t="shared" si="6"/>
        <v>0.8998870849609375</v>
      </c>
      <c r="I28" s="23" cm="1">
        <f t="array" ref="I28">SUMPRODUCT(D28:H28*$K$15:$O$15)</f>
        <v>3203.61328125</v>
      </c>
      <c r="J28" s="23">
        <f t="shared" si="7"/>
        <v>1494.5092390410446</v>
      </c>
      <c r="K28" s="23">
        <f t="shared" si="2"/>
        <v>97368.908773483461</v>
      </c>
      <c r="M28" s="33" t="s">
        <v>34</v>
      </c>
      <c r="N28" s="31">
        <f>(N24*O24+N25*O25+N26*O26+N27*O27)/(SUM(O24:O28))</f>
        <v>33186.996335400487</v>
      </c>
      <c r="P28" s="26"/>
    </row>
    <row r="29" spans="2:17" ht="14" thickBot="1" x14ac:dyDescent="0.2">
      <c r="C29" s="4">
        <f t="shared" si="1"/>
        <v>10</v>
      </c>
      <c r="D29" s="22">
        <f t="shared" si="8"/>
        <v>0</v>
      </c>
      <c r="E29" s="22">
        <f t="shared" si="3"/>
        <v>7.5084686279296875E-2</v>
      </c>
      <c r="F29" s="22">
        <f t="shared" si="4"/>
        <v>0</v>
      </c>
      <c r="G29" s="22">
        <f t="shared" si="5"/>
        <v>0</v>
      </c>
      <c r="H29" s="22">
        <f t="shared" si="6"/>
        <v>0.92491531372070312</v>
      </c>
      <c r="I29" s="23" cm="1">
        <f t="array" ref="I29">SUMPRODUCT(D29:H29*$K$15:$O$15)</f>
        <v>2402.7099609375</v>
      </c>
      <c r="J29" s="23">
        <f t="shared" si="7"/>
        <v>1018.9835720734394</v>
      </c>
      <c r="K29" s="23">
        <f t="shared" si="2"/>
        <v>98387.892345556902</v>
      </c>
      <c r="L29" s="25" t="s">
        <v>35</v>
      </c>
      <c r="M29" s="32" t="s">
        <v>36</v>
      </c>
      <c r="N29" s="37">
        <f>(N24*O24+N25*O25+N26*O26+N27*O27)</f>
        <v>497804945.03100729</v>
      </c>
      <c r="O29" s="27"/>
      <c r="P29" s="60">
        <f>SUMPRODUCT(O24:O27,P24:P27)</f>
        <v>444758819.77323955</v>
      </c>
    </row>
    <row r="30" spans="2:17" x14ac:dyDescent="0.15">
      <c r="C30" s="4">
        <f t="shared" si="1"/>
        <v>11</v>
      </c>
      <c r="D30" s="22">
        <f t="shared" si="8"/>
        <v>0</v>
      </c>
      <c r="E30" s="22">
        <f t="shared" si="3"/>
        <v>5.6313514709472656E-2</v>
      </c>
      <c r="F30" s="22">
        <f t="shared" si="4"/>
        <v>0</v>
      </c>
      <c r="G30" s="22">
        <f t="shared" si="5"/>
        <v>0</v>
      </c>
      <c r="H30" s="22">
        <f t="shared" si="6"/>
        <v>0.94368648529052734</v>
      </c>
      <c r="I30" s="23" cm="1">
        <f t="array" ref="I30">SUMPRODUCT(D30:H30*$K$15:$O$15)</f>
        <v>1802.032470703125</v>
      </c>
      <c r="J30" s="23">
        <f t="shared" si="7"/>
        <v>694.76152641370857</v>
      </c>
      <c r="K30" s="23">
        <f t="shared" si="2"/>
        <v>99082.653871970615</v>
      </c>
      <c r="M30" s="9"/>
      <c r="N30" s="22"/>
    </row>
    <row r="31" spans="2:17" x14ac:dyDescent="0.15">
      <c r="C31" s="4">
        <f t="shared" si="1"/>
        <v>12</v>
      </c>
      <c r="D31" s="22">
        <f t="shared" si="8"/>
        <v>0</v>
      </c>
      <c r="E31" s="22">
        <f t="shared" si="3"/>
        <v>4.2235136032104492E-2</v>
      </c>
      <c r="F31" s="22">
        <f t="shared" si="4"/>
        <v>0</v>
      </c>
      <c r="G31" s="22">
        <f t="shared" si="5"/>
        <v>0</v>
      </c>
      <c r="H31" s="22">
        <f t="shared" si="6"/>
        <v>0.95776486396789551</v>
      </c>
      <c r="I31" s="23" cm="1">
        <f t="array" ref="I31">SUMPRODUCT(D31:H31*$K$15:$O$15)</f>
        <v>1351.5243530273438</v>
      </c>
      <c r="J31" s="23">
        <f t="shared" si="7"/>
        <v>473.70104073661946</v>
      </c>
      <c r="K31" s="23">
        <f t="shared" si="2"/>
        <v>99556.354912707233</v>
      </c>
      <c r="L31" s="25" t="s">
        <v>28</v>
      </c>
      <c r="M31" s="36" t="s">
        <v>37</v>
      </c>
    </row>
    <row r="32" spans="2:17" ht="135" customHeight="1" x14ac:dyDescent="0.15">
      <c r="C32" s="4">
        <f t="shared" si="1"/>
        <v>13</v>
      </c>
      <c r="D32" s="22">
        <f t="shared" si="8"/>
        <v>0</v>
      </c>
      <c r="E32" s="22">
        <f t="shared" si="3"/>
        <v>3.1676352024078369E-2</v>
      </c>
      <c r="F32" s="22">
        <f t="shared" si="4"/>
        <v>0</v>
      </c>
      <c r="G32" s="22">
        <f t="shared" si="5"/>
        <v>0</v>
      </c>
      <c r="H32" s="22">
        <f t="shared" si="6"/>
        <v>0.96832364797592163</v>
      </c>
      <c r="I32" s="23" cm="1">
        <f t="array" ref="I32">SUMPRODUCT(D32:H32*$K$15:$O$15)</f>
        <v>1013.6432647705078</v>
      </c>
      <c r="J32" s="23">
        <f t="shared" si="7"/>
        <v>322.97798232042237</v>
      </c>
      <c r="K32" s="23">
        <f t="shared" si="2"/>
        <v>99879.332895027648</v>
      </c>
      <c r="M32" s="114" t="s">
        <v>38</v>
      </c>
      <c r="N32" s="114"/>
      <c r="O32" s="114"/>
      <c r="P32" s="114"/>
      <c r="Q32" s="114"/>
    </row>
    <row r="33" spans="3:18" ht="30" customHeight="1" x14ac:dyDescent="0.15">
      <c r="C33" s="4">
        <f t="shared" si="1"/>
        <v>14</v>
      </c>
      <c r="D33" s="22">
        <f t="shared" si="8"/>
        <v>0</v>
      </c>
      <c r="E33" s="22">
        <f t="shared" si="3"/>
        <v>2.3757264018058777E-2</v>
      </c>
      <c r="F33" s="22">
        <f t="shared" si="4"/>
        <v>0</v>
      </c>
      <c r="G33" s="22">
        <f t="shared" si="5"/>
        <v>0</v>
      </c>
      <c r="H33" s="22">
        <f t="shared" si="6"/>
        <v>0.97624273598194122</v>
      </c>
      <c r="I33" s="23" cm="1">
        <f t="array" ref="I33">SUMPRODUCT(D33:H33*$K$15:$O$15)</f>
        <v>760.23244857788086</v>
      </c>
      <c r="J33" s="23">
        <f t="shared" si="7"/>
        <v>220.21226067301524</v>
      </c>
      <c r="K33" s="23">
        <f t="shared" si="2"/>
        <v>100099.54515570066</v>
      </c>
    </row>
    <row r="34" spans="3:18" ht="80.25" customHeight="1" x14ac:dyDescent="0.2">
      <c r="C34" s="4">
        <f t="shared" si="1"/>
        <v>15</v>
      </c>
      <c r="D34" s="22">
        <f t="shared" si="8"/>
        <v>0</v>
      </c>
      <c r="E34" s="22">
        <f t="shared" si="3"/>
        <v>1.7817948013544083E-2</v>
      </c>
      <c r="F34" s="22">
        <f t="shared" si="4"/>
        <v>0</v>
      </c>
      <c r="G34" s="22">
        <f t="shared" si="5"/>
        <v>0</v>
      </c>
      <c r="H34" s="22">
        <f t="shared" si="6"/>
        <v>0.98218205198645592</v>
      </c>
      <c r="I34" s="23" cm="1">
        <f t="array" ref="I34">SUMPRODUCT(D34:H34*$K$15:$O$15)</f>
        <v>570.17433643341064</v>
      </c>
      <c r="J34" s="23">
        <f t="shared" si="7"/>
        <v>150.14472318614673</v>
      </c>
      <c r="K34" s="23">
        <f t="shared" si="2"/>
        <v>100249.68987888681</v>
      </c>
      <c r="L34" s="28" t="s">
        <v>35</v>
      </c>
      <c r="M34" s="115" t="s">
        <v>39</v>
      </c>
      <c r="N34" s="115"/>
      <c r="O34" s="115"/>
      <c r="P34" s="115"/>
      <c r="Q34" s="115"/>
    </row>
    <row r="35" spans="3:18" x14ac:dyDescent="0.15">
      <c r="C35" s="4">
        <f t="shared" si="1"/>
        <v>16</v>
      </c>
      <c r="D35" s="22">
        <f t="shared" si="8"/>
        <v>0</v>
      </c>
      <c r="E35" s="22">
        <f t="shared" si="3"/>
        <v>1.3363461010158062E-2</v>
      </c>
      <c r="F35" s="22">
        <f t="shared" si="4"/>
        <v>0</v>
      </c>
      <c r="G35" s="22">
        <f t="shared" si="5"/>
        <v>0</v>
      </c>
      <c r="H35" s="22">
        <f t="shared" si="6"/>
        <v>0.98663653898984194</v>
      </c>
      <c r="I35" s="23" cm="1">
        <f t="array" ref="I35">SUMPRODUCT(D35:H35*$K$15:$O$15)</f>
        <v>427.63075232505798</v>
      </c>
      <c r="J35" s="23">
        <f t="shared" si="7"/>
        <v>102.37140217237277</v>
      </c>
      <c r="K35" s="23">
        <f t="shared" si="2"/>
        <v>100352.06128105918</v>
      </c>
      <c r="M35" s="9"/>
    </row>
    <row r="36" spans="3:18" ht="15" customHeight="1" thickBot="1" x14ac:dyDescent="0.2">
      <c r="C36" s="4">
        <f t="shared" si="1"/>
        <v>17</v>
      </c>
      <c r="D36" s="22">
        <f t="shared" si="8"/>
        <v>0</v>
      </c>
      <c r="E36" s="22">
        <f t="shared" si="3"/>
        <v>1.0022595757618546E-2</v>
      </c>
      <c r="F36" s="22">
        <f t="shared" si="4"/>
        <v>0</v>
      </c>
      <c r="G36" s="22">
        <f t="shared" si="5"/>
        <v>0</v>
      </c>
      <c r="H36" s="22">
        <f t="shared" si="6"/>
        <v>0.98997740424238145</v>
      </c>
      <c r="I36" s="23" cm="1">
        <f t="array" ref="I36">SUMPRODUCT(D36:H36*$K$15:$O$15)</f>
        <v>320.72306424379349</v>
      </c>
      <c r="J36" s="23">
        <f t="shared" si="7"/>
        <v>69.798683299345072</v>
      </c>
      <c r="K36" s="23">
        <f t="shared" si="2"/>
        <v>100421.85996435853</v>
      </c>
      <c r="L36" s="28"/>
      <c r="M36" s="113"/>
      <c r="N36" s="113"/>
      <c r="O36" s="113"/>
      <c r="P36" s="113"/>
      <c r="Q36" s="113"/>
      <c r="R36" s="113"/>
    </row>
    <row r="37" spans="3:18" ht="14" x14ac:dyDescent="0.15">
      <c r="C37" s="4">
        <f t="shared" si="1"/>
        <v>18</v>
      </c>
      <c r="D37" s="22">
        <f t="shared" si="8"/>
        <v>0</v>
      </c>
      <c r="E37" s="22">
        <f t="shared" si="3"/>
        <v>7.5169468182139099E-3</v>
      </c>
      <c r="F37" s="22">
        <f t="shared" si="4"/>
        <v>0</v>
      </c>
      <c r="G37" s="22">
        <f t="shared" si="5"/>
        <v>0</v>
      </c>
      <c r="H37" s="22">
        <f t="shared" si="6"/>
        <v>0.99248305318178609</v>
      </c>
      <c r="I37" s="23" cm="1">
        <f t="array" ref="I37">SUMPRODUCT(D37:H37*$K$15:$O$15)</f>
        <v>240.54229818284512</v>
      </c>
      <c r="J37" s="23">
        <f t="shared" si="7"/>
        <v>47.590011340462546</v>
      </c>
      <c r="K37" s="23">
        <f t="shared" si="2"/>
        <v>100469.449975699</v>
      </c>
      <c r="L37" s="25" t="s">
        <v>40</v>
      </c>
      <c r="M37" s="94" t="s">
        <v>41</v>
      </c>
      <c r="N37" s="95" t="s">
        <v>42</v>
      </c>
      <c r="O37" s="4" t="s">
        <v>43</v>
      </c>
    </row>
    <row r="38" spans="3:18" ht="14" x14ac:dyDescent="0.15">
      <c r="C38" s="4">
        <f t="shared" si="1"/>
        <v>19</v>
      </c>
      <c r="D38" s="22">
        <f t="shared" si="8"/>
        <v>0</v>
      </c>
      <c r="E38" s="22">
        <f t="shared" si="3"/>
        <v>5.6377101136604324E-3</v>
      </c>
      <c r="F38" s="22">
        <f t="shared" si="4"/>
        <v>0</v>
      </c>
      <c r="G38" s="22">
        <f t="shared" si="5"/>
        <v>0</v>
      </c>
      <c r="H38" s="22">
        <f t="shared" si="6"/>
        <v>0.99436228988633957</v>
      </c>
      <c r="I38" s="23" cm="1">
        <f t="array" ref="I38">SUMPRODUCT(D38:H38*$K$15:$O$15)</f>
        <v>180.40672363713384</v>
      </c>
      <c r="J38" s="23">
        <f t="shared" si="7"/>
        <v>32.447735004860824</v>
      </c>
      <c r="K38" s="23">
        <f t="shared" si="2"/>
        <v>100501.89771070385</v>
      </c>
      <c r="M38" s="11" t="s">
        <v>6</v>
      </c>
      <c r="N38" s="38">
        <f>500*0.09</f>
        <v>45</v>
      </c>
      <c r="O38" s="40">
        <f>N38/$N$42</f>
        <v>1.3215859030837005E-2</v>
      </c>
    </row>
    <row r="39" spans="3:18" ht="14" x14ac:dyDescent="0.15">
      <c r="C39" s="4">
        <f t="shared" si="1"/>
        <v>20</v>
      </c>
      <c r="D39" s="22">
        <f t="shared" si="8"/>
        <v>0</v>
      </c>
      <c r="E39" s="22">
        <f t="shared" si="3"/>
        <v>4.2282825852453243E-3</v>
      </c>
      <c r="F39" s="22">
        <f t="shared" si="4"/>
        <v>0</v>
      </c>
      <c r="G39" s="22">
        <f t="shared" si="5"/>
        <v>0</v>
      </c>
      <c r="H39" s="22">
        <f t="shared" si="6"/>
        <v>0.99577171741475468</v>
      </c>
      <c r="I39" s="23" cm="1">
        <f t="array" ref="I39">SUMPRODUCT(D39:H39*$K$15:$O$15)</f>
        <v>135.30504272785038</v>
      </c>
      <c r="J39" s="23">
        <f t="shared" si="7"/>
        <v>22.123455685132374</v>
      </c>
      <c r="K39" s="23">
        <f t="shared" si="2"/>
        <v>100524.02116638898</v>
      </c>
      <c r="M39" s="11" t="s">
        <v>8</v>
      </c>
      <c r="N39" s="38">
        <f>2000*(0.11+0.32)</f>
        <v>860</v>
      </c>
      <c r="O39" s="40">
        <f t="shared" ref="O39:O41" si="10">N39/$N$42</f>
        <v>0.25256975036710722</v>
      </c>
    </row>
    <row r="40" spans="3:18" ht="14" x14ac:dyDescent="0.15">
      <c r="C40" s="4">
        <f t="shared" si="1"/>
        <v>21</v>
      </c>
      <c r="D40" s="22">
        <f t="shared" si="8"/>
        <v>0</v>
      </c>
      <c r="E40" s="22">
        <f t="shared" si="3"/>
        <v>3.1712119389339932E-3</v>
      </c>
      <c r="F40" s="22">
        <f t="shared" si="4"/>
        <v>0</v>
      </c>
      <c r="G40" s="22">
        <f t="shared" si="5"/>
        <v>0</v>
      </c>
      <c r="H40" s="22">
        <f t="shared" si="6"/>
        <v>0.99682878806106601</v>
      </c>
      <c r="I40" s="23" cm="1">
        <f t="array" ref="I40">SUMPRODUCT(D40:H40*$K$15:$O$15)</f>
        <v>101.47878204588778</v>
      </c>
      <c r="J40" s="23">
        <f t="shared" si="7"/>
        <v>15.084174330772074</v>
      </c>
      <c r="K40" s="23">
        <f t="shared" si="2"/>
        <v>100539.10534071975</v>
      </c>
      <c r="M40" s="11" t="s">
        <v>11</v>
      </c>
      <c r="N40" s="38">
        <f>5000*0.11</f>
        <v>550</v>
      </c>
      <c r="O40" s="40">
        <f t="shared" si="10"/>
        <v>0.16152716593245228</v>
      </c>
    </row>
    <row r="41" spans="3:18" ht="14" x14ac:dyDescent="0.15">
      <c r="C41" s="4">
        <f t="shared" si="1"/>
        <v>22</v>
      </c>
      <c r="D41" s="22">
        <f t="shared" si="8"/>
        <v>0</v>
      </c>
      <c r="E41" s="22">
        <f t="shared" si="3"/>
        <v>2.3784089542004949E-3</v>
      </c>
      <c r="F41" s="22">
        <f t="shared" si="4"/>
        <v>0</v>
      </c>
      <c r="G41" s="22">
        <f t="shared" si="5"/>
        <v>0</v>
      </c>
      <c r="H41" s="22">
        <f t="shared" si="6"/>
        <v>0.99762159104579951</v>
      </c>
      <c r="I41" s="23" cm="1">
        <f t="array" ref="I41">SUMPRODUCT(D41:H41*$K$15:$O$15)</f>
        <v>76.109086534415837</v>
      </c>
      <c r="J41" s="23">
        <f t="shared" si="7"/>
        <v>10.284664316435505</v>
      </c>
      <c r="K41" s="23">
        <f t="shared" si="2"/>
        <v>100549.39000503618</v>
      </c>
      <c r="M41" s="11" t="s">
        <v>13</v>
      </c>
      <c r="N41" s="38">
        <f>7500*(0.02+0.24)</f>
        <v>1950</v>
      </c>
      <c r="O41" s="40">
        <f t="shared" si="10"/>
        <v>0.57268722466960353</v>
      </c>
    </row>
    <row r="42" spans="3:18" ht="14" thickBot="1" x14ac:dyDescent="0.2">
      <c r="C42" s="4">
        <f t="shared" si="1"/>
        <v>23</v>
      </c>
      <c r="D42" s="22">
        <f t="shared" si="8"/>
        <v>0</v>
      </c>
      <c r="E42" s="22">
        <f t="shared" si="3"/>
        <v>1.7838067156503712E-3</v>
      </c>
      <c r="F42" s="22">
        <f t="shared" si="4"/>
        <v>0</v>
      </c>
      <c r="G42" s="22">
        <f t="shared" si="5"/>
        <v>0</v>
      </c>
      <c r="H42" s="22">
        <f t="shared" si="6"/>
        <v>0.99821619328434963</v>
      </c>
      <c r="I42" s="23" cm="1">
        <f t="array" ref="I42">SUMPRODUCT(D42:H42*$K$15:$O$15)</f>
        <v>57.081814900811878</v>
      </c>
      <c r="J42" s="23">
        <f t="shared" si="7"/>
        <v>7.0122711248423881</v>
      </c>
      <c r="K42" s="23">
        <f t="shared" si="2"/>
        <v>100556.40227616102</v>
      </c>
      <c r="M42" s="32" t="s">
        <v>44</v>
      </c>
      <c r="N42" s="39">
        <f>SUM(N38:N41)</f>
        <v>3405</v>
      </c>
      <c r="P42" s="4">
        <f>N42/15000</f>
        <v>0.22700000000000001</v>
      </c>
    </row>
    <row r="43" spans="3:18" ht="99.75" customHeight="1" x14ac:dyDescent="0.15">
      <c r="C43" s="4">
        <f t="shared" si="1"/>
        <v>24</v>
      </c>
      <c r="D43" s="22">
        <f t="shared" si="8"/>
        <v>0</v>
      </c>
      <c r="E43" s="22">
        <f t="shared" si="3"/>
        <v>1.3378550367377784E-3</v>
      </c>
      <c r="F43" s="22">
        <f t="shared" si="4"/>
        <v>0</v>
      </c>
      <c r="G43" s="22">
        <f t="shared" si="5"/>
        <v>0</v>
      </c>
      <c r="H43" s="22">
        <f t="shared" si="6"/>
        <v>0.99866214496326222</v>
      </c>
      <c r="I43" s="23" cm="1">
        <f t="array" ref="I43">SUMPRODUCT(D43:H43*$K$15:$O$15)</f>
        <v>42.811361175608909</v>
      </c>
      <c r="J43" s="23">
        <f t="shared" si="7"/>
        <v>4.7810939487561734</v>
      </c>
      <c r="K43" s="23">
        <f t="shared" si="2"/>
        <v>100561.18337010978</v>
      </c>
      <c r="M43" s="96" t="s">
        <v>45</v>
      </c>
      <c r="N43" s="56" t="s">
        <v>46</v>
      </c>
    </row>
    <row r="44" spans="3:18" x14ac:dyDescent="0.15">
      <c r="C44" s="4">
        <f t="shared" si="1"/>
        <v>25</v>
      </c>
      <c r="D44" s="22">
        <f t="shared" si="8"/>
        <v>0</v>
      </c>
      <c r="E44" s="22">
        <f t="shared" si="3"/>
        <v>1.0033912775533338E-3</v>
      </c>
      <c r="F44" s="22">
        <f t="shared" si="4"/>
        <v>0</v>
      </c>
      <c r="G44" s="22">
        <f t="shared" si="5"/>
        <v>0</v>
      </c>
      <c r="H44" s="22">
        <f t="shared" si="6"/>
        <v>0.99899660872244667</v>
      </c>
      <c r="I44" s="23" cm="1">
        <f t="array" ref="I44">SUMPRODUCT(D44:H44*$K$15:$O$15)</f>
        <v>32.108520881706681</v>
      </c>
      <c r="J44" s="23">
        <f t="shared" si="7"/>
        <v>3.2598367832428461</v>
      </c>
      <c r="K44" s="23">
        <f t="shared" si="2"/>
        <v>100564.44320689302</v>
      </c>
    </row>
    <row r="45" spans="3:18" ht="63" customHeight="1" x14ac:dyDescent="0.15">
      <c r="C45" s="4">
        <f t="shared" si="1"/>
        <v>26</v>
      </c>
      <c r="D45" s="22">
        <f t="shared" si="8"/>
        <v>0</v>
      </c>
      <c r="E45" s="22">
        <f t="shared" si="3"/>
        <v>7.5254345816500035E-4</v>
      </c>
      <c r="F45" s="22">
        <f t="shared" si="4"/>
        <v>0</v>
      </c>
      <c r="G45" s="22">
        <f t="shared" si="5"/>
        <v>0</v>
      </c>
      <c r="H45" s="22">
        <f t="shared" si="6"/>
        <v>0.999247456541835</v>
      </c>
      <c r="I45" s="23" cm="1">
        <f t="array" ref="I45">SUMPRODUCT(D45:H45*$K$15:$O$15)</f>
        <v>24.081390661280011</v>
      </c>
      <c r="J45" s="23">
        <f t="shared" si="7"/>
        <v>2.2226159885746672</v>
      </c>
      <c r="K45" s="23">
        <f t="shared" si="2"/>
        <v>100566.66582288159</v>
      </c>
    </row>
    <row r="46" spans="3:18" x14ac:dyDescent="0.15">
      <c r="C46" s="4">
        <f t="shared" si="1"/>
        <v>27</v>
      </c>
      <c r="D46" s="22">
        <f t="shared" si="8"/>
        <v>0</v>
      </c>
      <c r="E46" s="22">
        <f t="shared" si="3"/>
        <v>5.6440759362375026E-4</v>
      </c>
      <c r="F46" s="22">
        <f t="shared" si="4"/>
        <v>0</v>
      </c>
      <c r="G46" s="22">
        <f t="shared" si="5"/>
        <v>0</v>
      </c>
      <c r="H46" s="22">
        <f t="shared" si="6"/>
        <v>0.99943559240637625</v>
      </c>
      <c r="I46" s="23" cm="1">
        <f t="array" ref="I46">SUMPRODUCT(D46:H46*$K$15:$O$15)</f>
        <v>18.061042995960008</v>
      </c>
      <c r="J46" s="23">
        <f t="shared" si="7"/>
        <v>1.5154199922100002</v>
      </c>
      <c r="K46" s="23">
        <f t="shared" si="2"/>
        <v>100568.1812428738</v>
      </c>
      <c r="M46" s="4" t="s">
        <v>47</v>
      </c>
    </row>
    <row r="47" spans="3:18" ht="61.5" customHeight="1" x14ac:dyDescent="0.15">
      <c r="C47" s="4">
        <f t="shared" si="1"/>
        <v>28</v>
      </c>
      <c r="D47" s="22">
        <f t="shared" si="8"/>
        <v>0</v>
      </c>
      <c r="E47" s="22">
        <f t="shared" si="3"/>
        <v>4.2330569521781269E-4</v>
      </c>
      <c r="F47" s="22">
        <f t="shared" si="4"/>
        <v>0</v>
      </c>
      <c r="G47" s="22">
        <f t="shared" si="5"/>
        <v>0</v>
      </c>
      <c r="H47" s="22">
        <f t="shared" si="6"/>
        <v>0.99957669430478213</v>
      </c>
      <c r="I47" s="23" cm="1">
        <f t="array" ref="I47">SUMPRODUCT(D47:H47*$K$15:$O$15)</f>
        <v>13.545782246970006</v>
      </c>
      <c r="J47" s="23">
        <f t="shared" si="7"/>
        <v>1.0332409037795456</v>
      </c>
      <c r="K47" s="23">
        <f t="shared" si="2"/>
        <v>100569.21448377758</v>
      </c>
      <c r="M47" s="82" t="s">
        <v>48</v>
      </c>
      <c r="N47" s="82"/>
      <c r="O47" s="82"/>
      <c r="P47" s="82"/>
      <c r="Q47" s="82"/>
    </row>
    <row r="48" spans="3:18" ht="47.5" customHeight="1" x14ac:dyDescent="0.15">
      <c r="C48" s="4">
        <f t="shared" si="1"/>
        <v>29</v>
      </c>
      <c r="D48" s="22">
        <f t="shared" si="8"/>
        <v>0</v>
      </c>
      <c r="E48" s="22">
        <f t="shared" si="3"/>
        <v>3.1747927141335952E-4</v>
      </c>
      <c r="F48" s="22">
        <f t="shared" si="4"/>
        <v>0</v>
      </c>
      <c r="G48" s="22">
        <f t="shared" si="5"/>
        <v>0</v>
      </c>
      <c r="H48" s="22">
        <f t="shared" si="6"/>
        <v>0.99968252072858654</v>
      </c>
      <c r="I48" s="23" cm="1">
        <f t="array" ref="I48">SUMPRODUCT(D48:H48*$K$15:$O$15)</f>
        <v>10.159336685227505</v>
      </c>
      <c r="J48" s="23">
        <f t="shared" si="7"/>
        <v>0.70448243439514469</v>
      </c>
      <c r="K48" s="23">
        <f t="shared" si="2"/>
        <v>100569.91896621198</v>
      </c>
    </row>
    <row r="49" spans="3:17" x14ac:dyDescent="0.15">
      <c r="C49" s="4">
        <f t="shared" si="1"/>
        <v>30</v>
      </c>
      <c r="D49" s="22">
        <f t="shared" si="8"/>
        <v>0</v>
      </c>
      <c r="E49" s="22">
        <f t="shared" si="3"/>
        <v>2.3810945356001964E-4</v>
      </c>
      <c r="F49" s="22">
        <f t="shared" si="4"/>
        <v>0</v>
      </c>
      <c r="G49" s="22">
        <f t="shared" si="5"/>
        <v>0</v>
      </c>
      <c r="H49" s="22">
        <f t="shared" si="6"/>
        <v>0.99976189054643994</v>
      </c>
      <c r="I49" s="23" cm="1">
        <f t="array" ref="I49">SUMPRODUCT(D49:H49*$K$15:$O$15)</f>
        <v>7.6195025139206285</v>
      </c>
      <c r="J49" s="23">
        <f t="shared" si="7"/>
        <v>0.48032893254214409</v>
      </c>
      <c r="K49" s="23">
        <f t="shared" si="2"/>
        <v>100570.39929514451</v>
      </c>
    </row>
    <row r="50" spans="3:17" x14ac:dyDescent="0.15">
      <c r="C50" s="4">
        <f t="shared" si="1"/>
        <v>31</v>
      </c>
      <c r="D50" s="22">
        <f t="shared" si="8"/>
        <v>0</v>
      </c>
      <c r="E50" s="22">
        <f t="shared" si="3"/>
        <v>1.7858209017001473E-4</v>
      </c>
      <c r="F50" s="22">
        <f t="shared" si="4"/>
        <v>0</v>
      </c>
      <c r="G50" s="22">
        <f t="shared" si="5"/>
        <v>0</v>
      </c>
      <c r="H50" s="22">
        <f t="shared" si="6"/>
        <v>0.99982141790982992</v>
      </c>
      <c r="I50" s="23" cm="1">
        <f t="array" ref="I50">SUMPRODUCT(D50:H50*$K$15:$O$15)</f>
        <v>5.7146268854404711</v>
      </c>
      <c r="J50" s="23">
        <f t="shared" si="7"/>
        <v>0.32749699946055272</v>
      </c>
      <c r="K50" s="23">
        <f t="shared" si="2"/>
        <v>100570.72679214398</v>
      </c>
    </row>
    <row r="51" spans="3:17" x14ac:dyDescent="0.15">
      <c r="C51" s="4">
        <f t="shared" si="1"/>
        <v>32</v>
      </c>
      <c r="D51" s="22">
        <f t="shared" si="8"/>
        <v>0</v>
      </c>
      <c r="E51" s="22">
        <f t="shared" si="3"/>
        <v>1.3393656762751105E-4</v>
      </c>
      <c r="F51" s="22">
        <f t="shared" si="4"/>
        <v>0</v>
      </c>
      <c r="G51" s="22">
        <f t="shared" si="5"/>
        <v>0</v>
      </c>
      <c r="H51" s="22">
        <f t="shared" si="6"/>
        <v>0.99986606343237239</v>
      </c>
      <c r="I51" s="23" cm="1">
        <f t="array" ref="I51">SUMPRODUCT(D51:H51*$K$15:$O$15)</f>
        <v>4.2859701640803536</v>
      </c>
      <c r="J51" s="23">
        <f t="shared" si="7"/>
        <v>0.22329340872310413</v>
      </c>
      <c r="K51" s="23">
        <f t="shared" si="2"/>
        <v>100570.9500855527</v>
      </c>
      <c r="M51" s="4" t="s">
        <v>49</v>
      </c>
    </row>
    <row r="52" spans="3:17" ht="93" customHeight="1" x14ac:dyDescent="0.15">
      <c r="C52" s="4">
        <f t="shared" si="1"/>
        <v>33</v>
      </c>
      <c r="D52" s="22">
        <f t="shared" si="8"/>
        <v>0</v>
      </c>
      <c r="E52" s="22">
        <f t="shared" si="3"/>
        <v>1.0045242572063329E-4</v>
      </c>
      <c r="F52" s="22">
        <f t="shared" si="4"/>
        <v>0</v>
      </c>
      <c r="G52" s="22">
        <f t="shared" si="5"/>
        <v>0</v>
      </c>
      <c r="H52" s="22">
        <f t="shared" si="6"/>
        <v>0.99989954757427923</v>
      </c>
      <c r="I52" s="23" cm="1">
        <f t="array" ref="I52">SUMPRODUCT(D52:H52*$K$15:$O$15)</f>
        <v>3.2144776230602652</v>
      </c>
      <c r="J52" s="23">
        <f t="shared" si="7"/>
        <v>0.152245505947571</v>
      </c>
      <c r="K52" s="23">
        <f t="shared" si="2"/>
        <v>100571.10233105865</v>
      </c>
      <c r="M52" s="98" t="s">
        <v>50</v>
      </c>
      <c r="N52" s="97"/>
      <c r="O52" s="97"/>
      <c r="P52" s="97"/>
      <c r="Q52" s="97"/>
    </row>
    <row r="53" spans="3:17" x14ac:dyDescent="0.15">
      <c r="C53" s="4">
        <f t="shared" si="1"/>
        <v>34</v>
      </c>
      <c r="D53" s="22">
        <f t="shared" si="8"/>
        <v>0</v>
      </c>
      <c r="E53" s="22">
        <f t="shared" si="3"/>
        <v>7.5339319290474964E-5</v>
      </c>
      <c r="F53" s="22">
        <f t="shared" si="4"/>
        <v>0</v>
      </c>
      <c r="G53" s="22">
        <f t="shared" si="5"/>
        <v>0</v>
      </c>
      <c r="H53" s="22">
        <f t="shared" si="6"/>
        <v>0.9999246606807094</v>
      </c>
      <c r="I53" s="23" cm="1">
        <f t="array" ref="I53">SUMPRODUCT(D53:H53*$K$15:$O$15)</f>
        <v>2.4108582172951989</v>
      </c>
      <c r="J53" s="23">
        <f t="shared" si="7"/>
        <v>0.10380375405516203</v>
      </c>
      <c r="K53" s="23">
        <f t="shared" si="2"/>
        <v>100571.2061348127</v>
      </c>
    </row>
    <row r="54" spans="3:17" x14ac:dyDescent="0.15">
      <c r="C54" s="4">
        <f t="shared" si="1"/>
        <v>35</v>
      </c>
      <c r="D54" s="22">
        <f t="shared" si="8"/>
        <v>0</v>
      </c>
      <c r="E54" s="22">
        <f t="shared" si="3"/>
        <v>5.650448946785622E-5</v>
      </c>
      <c r="F54" s="22">
        <f t="shared" si="4"/>
        <v>0</v>
      </c>
      <c r="G54" s="22">
        <f t="shared" si="5"/>
        <v>0</v>
      </c>
      <c r="H54" s="22">
        <f t="shared" si="6"/>
        <v>0.99994349551053197</v>
      </c>
      <c r="I54" s="23" cm="1">
        <f t="array" ref="I54">SUMPRODUCT(D54:H54*$K$15:$O$15)</f>
        <v>1.8081436629713989</v>
      </c>
      <c r="J54" s="23">
        <f t="shared" si="7"/>
        <v>7.0775286855792277E-2</v>
      </c>
      <c r="K54" s="23">
        <f t="shared" si="2"/>
        <v>100571.27691009956</v>
      </c>
    </row>
    <row r="55" spans="3:17" x14ac:dyDescent="0.15">
      <c r="C55" s="4">
        <f t="shared" si="1"/>
        <v>36</v>
      </c>
      <c r="D55" s="22">
        <f t="shared" si="8"/>
        <v>0</v>
      </c>
      <c r="E55" s="22">
        <f t="shared" si="3"/>
        <v>4.2378367100892165E-5</v>
      </c>
      <c r="F55" s="22">
        <f t="shared" si="4"/>
        <v>0</v>
      </c>
      <c r="G55" s="22">
        <f t="shared" si="5"/>
        <v>0</v>
      </c>
      <c r="H55" s="22">
        <f t="shared" si="6"/>
        <v>0.99995762163289892</v>
      </c>
      <c r="I55" s="23" cm="1">
        <f t="array" ref="I55">SUMPRODUCT(D55:H55*$K$15:$O$15)</f>
        <v>1.3561077472285492</v>
      </c>
      <c r="J55" s="23">
        <f t="shared" si="7"/>
        <v>4.8255877401676549E-2</v>
      </c>
      <c r="K55" s="23">
        <f t="shared" si="2"/>
        <v>100571.32516597696</v>
      </c>
    </row>
    <row r="56" spans="3:17" x14ac:dyDescent="0.15">
      <c r="C56" s="4">
        <f t="shared" si="1"/>
        <v>37</v>
      </c>
      <c r="D56" s="22">
        <f t="shared" si="8"/>
        <v>0</v>
      </c>
      <c r="E56" s="22">
        <f t="shared" si="3"/>
        <v>3.1783775325669122E-5</v>
      </c>
      <c r="F56" s="22">
        <f t="shared" si="4"/>
        <v>0</v>
      </c>
      <c r="G56" s="22">
        <f t="shared" si="5"/>
        <v>0</v>
      </c>
      <c r="H56" s="22">
        <f t="shared" si="6"/>
        <v>0.99996821622467413</v>
      </c>
      <c r="I56" s="23" cm="1">
        <f t="array" ref="I56">SUMPRODUCT(D56:H56*$K$15:$O$15)</f>
        <v>1.017080810421412</v>
      </c>
      <c r="J56" s="23">
        <f t="shared" si="7"/>
        <v>3.2901734592052194E-2</v>
      </c>
      <c r="K56" s="23">
        <f t="shared" si="2"/>
        <v>100571.35806771155</v>
      </c>
    </row>
    <row r="57" spans="3:17" x14ac:dyDescent="0.15">
      <c r="C57" s="4">
        <f t="shared" si="1"/>
        <v>38</v>
      </c>
      <c r="D57" s="22">
        <f t="shared" si="8"/>
        <v>0</v>
      </c>
      <c r="E57" s="22">
        <f t="shared" si="3"/>
        <v>2.3837831494251841E-5</v>
      </c>
      <c r="F57" s="22">
        <f t="shared" si="4"/>
        <v>0</v>
      </c>
      <c r="G57" s="22">
        <f t="shared" si="5"/>
        <v>0</v>
      </c>
      <c r="H57" s="22">
        <f t="shared" si="6"/>
        <v>0.9999761621685056</v>
      </c>
      <c r="I57" s="23" cm="1">
        <f t="array" ref="I57">SUMPRODUCT(D57:H57*$K$15:$O$15)</f>
        <v>0.76281060781605892</v>
      </c>
      <c r="J57" s="23">
        <f t="shared" si="7"/>
        <v>2.2433000858217401E-2</v>
      </c>
      <c r="K57" s="23">
        <f t="shared" si="2"/>
        <v>100571.38050071242</v>
      </c>
    </row>
    <row r="58" spans="3:17" x14ac:dyDescent="0.15">
      <c r="C58" s="4">
        <f t="shared" si="1"/>
        <v>39</v>
      </c>
      <c r="D58" s="22">
        <f t="shared" si="8"/>
        <v>0</v>
      </c>
      <c r="E58" s="22">
        <f t="shared" si="3"/>
        <v>1.7878373620688882E-5</v>
      </c>
      <c r="F58" s="22">
        <f t="shared" si="4"/>
        <v>0</v>
      </c>
      <c r="G58" s="22">
        <f t="shared" si="5"/>
        <v>0</v>
      </c>
      <c r="H58" s="22">
        <f t="shared" si="6"/>
        <v>0.99998212162637912</v>
      </c>
      <c r="I58" s="23" cm="1">
        <f t="array" ref="I58">SUMPRODUCT(D58:H58*$K$15:$O$15)</f>
        <v>0.57210795586204422</v>
      </c>
      <c r="J58" s="23">
        <f t="shared" si="7"/>
        <v>1.52952278578755E-2</v>
      </c>
      <c r="K58" s="23">
        <f t="shared" si="2"/>
        <v>100571.39579594028</v>
      </c>
    </row>
    <row r="59" spans="3:17" x14ac:dyDescent="0.15">
      <c r="C59" s="4">
        <f t="shared" si="1"/>
        <v>40</v>
      </c>
      <c r="D59" s="22">
        <f t="shared" si="8"/>
        <v>0</v>
      </c>
      <c r="E59" s="22">
        <f t="shared" si="3"/>
        <v>1.3408780215516662E-5</v>
      </c>
      <c r="F59" s="22">
        <f t="shared" si="4"/>
        <v>0</v>
      </c>
      <c r="G59" s="22">
        <f t="shared" si="5"/>
        <v>0</v>
      </c>
      <c r="H59" s="22">
        <f t="shared" si="6"/>
        <v>0.99998659121978428</v>
      </c>
      <c r="I59" s="23" cm="1">
        <f t="array" ref="I59">SUMPRODUCT(D59:H59*$K$15:$O$15)</f>
        <v>0.42908096689653319</v>
      </c>
      <c r="J59" s="23">
        <f t="shared" si="7"/>
        <v>1.0428564448551477E-2</v>
      </c>
      <c r="K59" s="23">
        <f t="shared" si="2"/>
        <v>100571.40622450472</v>
      </c>
    </row>
    <row r="60" spans="3:17" x14ac:dyDescent="0.15">
      <c r="C60" s="4">
        <f t="shared" si="1"/>
        <v>41</v>
      </c>
      <c r="D60" s="22">
        <f t="shared" si="8"/>
        <v>0</v>
      </c>
      <c r="E60" s="22">
        <f t="shared" si="3"/>
        <v>1.0056585161637497E-5</v>
      </c>
      <c r="F60" s="22">
        <f t="shared" si="4"/>
        <v>0</v>
      </c>
      <c r="G60" s="22">
        <f t="shared" si="5"/>
        <v>0</v>
      </c>
      <c r="H60" s="22">
        <f t="shared" si="6"/>
        <v>0.99998994341483816</v>
      </c>
      <c r="I60" s="23" cm="1">
        <f t="array" ref="I60">SUMPRODUCT(D60:H60*$K$15:$O$15)</f>
        <v>0.32181072517239989</v>
      </c>
      <c r="J60" s="23">
        <f t="shared" si="7"/>
        <v>7.1103848512850988E-3</v>
      </c>
      <c r="K60" s="23">
        <f t="shared" si="2"/>
        <v>100571.41333488957</v>
      </c>
    </row>
    <row r="61" spans="3:17" x14ac:dyDescent="0.15">
      <c r="C61" s="4">
        <f t="shared" si="1"/>
        <v>42</v>
      </c>
      <c r="D61" s="22">
        <f t="shared" si="8"/>
        <v>0</v>
      </c>
      <c r="E61" s="22">
        <f t="shared" si="3"/>
        <v>7.542438871228123E-6</v>
      </c>
      <c r="F61" s="22">
        <f t="shared" si="4"/>
        <v>0</v>
      </c>
      <c r="G61" s="22">
        <f t="shared" si="5"/>
        <v>0</v>
      </c>
      <c r="H61" s="22">
        <f t="shared" si="6"/>
        <v>0.99999245756112853</v>
      </c>
      <c r="I61" s="23" cm="1">
        <f t="array" ref="I61">SUMPRODUCT(D61:H61*$K$15:$O$15)</f>
        <v>0.24135804387929993</v>
      </c>
      <c r="J61" s="23">
        <f t="shared" si="7"/>
        <v>4.8479896713307493E-3</v>
      </c>
      <c r="K61" s="23">
        <f t="shared" si="2"/>
        <v>100571.41818287924</v>
      </c>
    </row>
    <row r="62" spans="3:17" x14ac:dyDescent="0.15">
      <c r="C62" s="4">
        <f t="shared" si="1"/>
        <v>43</v>
      </c>
      <c r="D62" s="22">
        <f t="shared" si="8"/>
        <v>0</v>
      </c>
      <c r="E62" s="22">
        <f t="shared" si="3"/>
        <v>5.6568291534210922E-6</v>
      </c>
      <c r="F62" s="22">
        <f t="shared" si="4"/>
        <v>0</v>
      </c>
      <c r="G62" s="22">
        <f t="shared" si="5"/>
        <v>0</v>
      </c>
      <c r="H62" s="22">
        <f t="shared" si="6"/>
        <v>0.99999434317084634</v>
      </c>
      <c r="I62" s="23" cm="1">
        <f t="array" ref="I62">SUMPRODUCT(D62:H62*$K$15:$O$15)</f>
        <v>0.18101853290947495</v>
      </c>
      <c r="J62" s="23">
        <f t="shared" si="7"/>
        <v>3.3054475031800558E-3</v>
      </c>
      <c r="K62" s="23">
        <f t="shared" si="2"/>
        <v>100571.42148832674</v>
      </c>
    </row>
    <row r="63" spans="3:17" x14ac:dyDescent="0.15">
      <c r="C63" s="4">
        <f t="shared" si="1"/>
        <v>44</v>
      </c>
      <c r="D63" s="22">
        <f t="shared" si="8"/>
        <v>0</v>
      </c>
      <c r="E63" s="22">
        <f t="shared" si="3"/>
        <v>4.2426218650658194E-6</v>
      </c>
      <c r="F63" s="22">
        <f t="shared" si="4"/>
        <v>0</v>
      </c>
      <c r="G63" s="22">
        <f t="shared" si="5"/>
        <v>0</v>
      </c>
      <c r="H63" s="22">
        <f t="shared" si="6"/>
        <v>0.99999575737813473</v>
      </c>
      <c r="I63" s="23" cm="1">
        <f t="array" ref="I63">SUMPRODUCT(D63:H63*$K$15:$O$15)</f>
        <v>0.13576389968210623</v>
      </c>
      <c r="J63" s="23">
        <f t="shared" si="7"/>
        <v>2.2537142067136744E-3</v>
      </c>
      <c r="K63" s="23">
        <f t="shared" si="2"/>
        <v>100571.42374204095</v>
      </c>
    </row>
    <row r="64" spans="3:17" x14ac:dyDescent="0.15">
      <c r="C64" s="4">
        <f t="shared" si="1"/>
        <v>45</v>
      </c>
      <c r="D64" s="22">
        <f t="shared" si="8"/>
        <v>0</v>
      </c>
      <c r="E64" s="22">
        <f t="shared" si="3"/>
        <v>3.1819663987993645E-6</v>
      </c>
      <c r="F64" s="22">
        <f t="shared" si="4"/>
        <v>0</v>
      </c>
      <c r="G64" s="22">
        <f t="shared" si="5"/>
        <v>0</v>
      </c>
      <c r="H64" s="22">
        <f t="shared" si="6"/>
        <v>0.99999681803360096</v>
      </c>
      <c r="I64" s="23" cm="1">
        <f t="array" ref="I64">SUMPRODUCT(D64:H64*$K$15:$O$15)</f>
        <v>0.10182292476157967</v>
      </c>
      <c r="J64" s="23">
        <f t="shared" si="7"/>
        <v>1.5366233227593234E-3</v>
      </c>
      <c r="K64" s="23">
        <f t="shared" si="2"/>
        <v>100571.42527866428</v>
      </c>
    </row>
    <row r="65" spans="3:11" x14ac:dyDescent="0.15">
      <c r="C65" s="4">
        <f t="shared" si="1"/>
        <v>46</v>
      </c>
      <c r="D65" s="22">
        <f t="shared" si="8"/>
        <v>0</v>
      </c>
      <c r="E65" s="22">
        <f t="shared" si="3"/>
        <v>2.3864747990995235E-6</v>
      </c>
      <c r="F65" s="22">
        <f t="shared" si="4"/>
        <v>0</v>
      </c>
      <c r="G65" s="22">
        <f t="shared" si="5"/>
        <v>0</v>
      </c>
      <c r="H65" s="22">
        <f t="shared" si="6"/>
        <v>0.99999761352520067</v>
      </c>
      <c r="I65" s="23" cm="1">
        <f t="array" ref="I65">SUMPRODUCT(D65:H65*$K$15:$O$15)</f>
        <v>7.6367193571184752E-2</v>
      </c>
      <c r="J65" s="23">
        <f t="shared" si="7"/>
        <v>1.0476977200631749E-3</v>
      </c>
      <c r="K65" s="23">
        <f t="shared" si="2"/>
        <v>100571.42632636199</v>
      </c>
    </row>
    <row r="66" spans="3:11" x14ac:dyDescent="0.15">
      <c r="C66" s="4">
        <f t="shared" si="1"/>
        <v>47</v>
      </c>
      <c r="D66" s="22">
        <f t="shared" si="8"/>
        <v>0</v>
      </c>
      <c r="E66" s="22">
        <f t="shared" si="3"/>
        <v>1.7898560993246426E-6</v>
      </c>
      <c r="F66" s="22">
        <f t="shared" si="4"/>
        <v>0</v>
      </c>
      <c r="G66" s="22">
        <f t="shared" si="5"/>
        <v>0</v>
      </c>
      <c r="H66" s="22">
        <f t="shared" si="6"/>
        <v>0.99999821014390045</v>
      </c>
      <c r="I66" s="23" cm="1">
        <f t="array" ref="I66">SUMPRODUCT(D66:H66*$K$15:$O$15)</f>
        <v>5.7275395178388568E-2</v>
      </c>
      <c r="J66" s="23">
        <f t="shared" si="7"/>
        <v>7.1433935458852828E-4</v>
      </c>
      <c r="K66" s="23">
        <f t="shared" si="2"/>
        <v>100571.42704070135</v>
      </c>
    </row>
    <row r="67" spans="3:11" x14ac:dyDescent="0.15">
      <c r="C67" s="4">
        <f t="shared" si="1"/>
        <v>48</v>
      </c>
      <c r="D67" s="22">
        <f t="shared" si="8"/>
        <v>0</v>
      </c>
      <c r="E67" s="22">
        <f t="shared" si="3"/>
        <v>1.3423920744934819E-6</v>
      </c>
      <c r="F67" s="22">
        <f t="shared" si="4"/>
        <v>0</v>
      </c>
      <c r="G67" s="22">
        <f t="shared" si="5"/>
        <v>0</v>
      </c>
      <c r="H67" s="22">
        <f t="shared" si="6"/>
        <v>0.99999865760792528</v>
      </c>
      <c r="I67" s="23" cm="1">
        <f t="array" ref="I67">SUMPRODUCT(D67:H67*$K$15:$O$15)</f>
        <v>4.295654638379142E-2</v>
      </c>
      <c r="J67" s="23">
        <f t="shared" si="7"/>
        <v>4.8704955994672379E-4</v>
      </c>
      <c r="K67" s="23">
        <f t="shared" si="2"/>
        <v>100571.42752775092</v>
      </c>
    </row>
    <row r="68" spans="3:11" x14ac:dyDescent="0.15">
      <c r="C68" s="4">
        <f t="shared" si="1"/>
        <v>49</v>
      </c>
      <c r="D68" s="22">
        <f t="shared" si="8"/>
        <v>0</v>
      </c>
      <c r="E68" s="22">
        <f t="shared" si="3"/>
        <v>1.0067940558701114E-6</v>
      </c>
      <c r="F68" s="22">
        <f t="shared" si="4"/>
        <v>0</v>
      </c>
      <c r="G68" s="22">
        <f t="shared" si="5"/>
        <v>0</v>
      </c>
      <c r="H68" s="22">
        <f t="shared" si="6"/>
        <v>0.99999899320594388</v>
      </c>
      <c r="I68" s="23" cm="1">
        <f t="array" ref="I68">SUMPRODUCT(D68:H68*$K$15:$O$15)</f>
        <v>3.2217409787843564E-2</v>
      </c>
      <c r="J68" s="23">
        <f t="shared" si="7"/>
        <v>3.3207924541822073E-4</v>
      </c>
      <c r="K68" s="23">
        <f t="shared" si="2"/>
        <v>100571.42785983016</v>
      </c>
    </row>
    <row r="69" spans="3:11" x14ac:dyDescent="0.15">
      <c r="C69" s="4">
        <f t="shared" si="1"/>
        <v>50</v>
      </c>
      <c r="D69" s="22">
        <f t="shared" si="8"/>
        <v>0</v>
      </c>
      <c r="E69" s="22">
        <f t="shared" si="3"/>
        <v>7.5509554190258349E-7</v>
      </c>
      <c r="F69" s="22">
        <f t="shared" si="4"/>
        <v>0</v>
      </c>
      <c r="G69" s="22">
        <f t="shared" si="5"/>
        <v>0</v>
      </c>
      <c r="H69" s="22">
        <f t="shared" si="6"/>
        <v>0.9999992449044578</v>
      </c>
      <c r="I69" s="23" cm="1">
        <f t="array" ref="I69">SUMPRODUCT(D69:H69*$K$15:$O$15)</f>
        <v>2.4163057340882671E-2</v>
      </c>
      <c r="J69" s="23">
        <f t="shared" si="7"/>
        <v>2.2641766733060503E-4</v>
      </c>
      <c r="K69" s="23">
        <f t="shared" si="2"/>
        <v>100571.42808624783</v>
      </c>
    </row>
    <row r="70" spans="3:11" x14ac:dyDescent="0.15">
      <c r="C70" s="4">
        <f t="shared" si="1"/>
        <v>51</v>
      </c>
      <c r="D70" s="22">
        <f t="shared" si="8"/>
        <v>0</v>
      </c>
      <c r="E70" s="22">
        <f t="shared" si="3"/>
        <v>5.6632165642693762E-7</v>
      </c>
      <c r="F70" s="22">
        <f t="shared" si="4"/>
        <v>0</v>
      </c>
      <c r="G70" s="22">
        <f t="shared" si="5"/>
        <v>0</v>
      </c>
      <c r="H70" s="22">
        <f t="shared" si="6"/>
        <v>0.99999943367834332</v>
      </c>
      <c r="I70" s="23" cm="1">
        <f t="array" ref="I70">SUMPRODUCT(D70:H70*$K$15:$O$15)</f>
        <v>1.8122293005662003E-2</v>
      </c>
      <c r="J70" s="23">
        <f t="shared" si="7"/>
        <v>1.5437568227086705E-4</v>
      </c>
      <c r="K70" s="23">
        <f t="shared" si="2"/>
        <v>100571.42824062351</v>
      </c>
    </row>
    <row r="71" spans="3:11" x14ac:dyDescent="0.15">
      <c r="C71" s="4">
        <f t="shared" si="1"/>
        <v>52</v>
      </c>
      <c r="D71" s="22">
        <f t="shared" si="8"/>
        <v>0</v>
      </c>
      <c r="E71" s="22">
        <f t="shared" si="3"/>
        <v>4.2474124232020321E-7</v>
      </c>
      <c r="F71" s="22">
        <f t="shared" si="4"/>
        <v>0</v>
      </c>
      <c r="G71" s="22">
        <f t="shared" si="5"/>
        <v>0</v>
      </c>
      <c r="H71" s="22">
        <f t="shared" si="6"/>
        <v>0.99999957525875738</v>
      </c>
      <c r="I71" s="23" cm="1">
        <f t="array" ref="I71">SUMPRODUCT(D71:H71*$K$15:$O$15)</f>
        <v>1.3591719754246502E-2</v>
      </c>
      <c r="J71" s="23">
        <f t="shared" si="7"/>
        <v>1.0525614700286388E-4</v>
      </c>
      <c r="K71" s="23">
        <f t="shared" si="2"/>
        <v>100571.42834587966</v>
      </c>
    </row>
    <row r="72" spans="3:11" x14ac:dyDescent="0.15">
      <c r="C72" s="4">
        <f t="shared" si="1"/>
        <v>53</v>
      </c>
      <c r="D72" s="22">
        <f t="shared" si="8"/>
        <v>0</v>
      </c>
      <c r="E72" s="22">
        <f t="shared" si="3"/>
        <v>3.185559317401524E-7</v>
      </c>
      <c r="F72" s="22">
        <f t="shared" si="4"/>
        <v>0</v>
      </c>
      <c r="G72" s="22">
        <f t="shared" si="5"/>
        <v>0</v>
      </c>
      <c r="H72" s="22">
        <f t="shared" si="6"/>
        <v>0.99999968144406792</v>
      </c>
      <c r="I72" s="23" cm="1">
        <f t="array" ref="I72">SUMPRODUCT(D72:H72*$K$15:$O$15)</f>
        <v>1.0193789815684877E-2</v>
      </c>
      <c r="J72" s="23">
        <f t="shared" si="7"/>
        <v>7.1765554774679918E-5</v>
      </c>
      <c r="K72" s="23">
        <f t="shared" si="2"/>
        <v>100571.42841764521</v>
      </c>
    </row>
    <row r="73" spans="3:11" x14ac:dyDescent="0.15">
      <c r="C73" s="4">
        <f t="shared" si="1"/>
        <v>54</v>
      </c>
      <c r="D73" s="22">
        <f t="shared" si="8"/>
        <v>0</v>
      </c>
      <c r="E73" s="22">
        <f t="shared" si="3"/>
        <v>2.3891694880511431E-7</v>
      </c>
      <c r="F73" s="22">
        <f t="shared" si="4"/>
        <v>0</v>
      </c>
      <c r="G73" s="22">
        <f t="shared" si="5"/>
        <v>0</v>
      </c>
      <c r="H73" s="22">
        <f t="shared" si="6"/>
        <v>0.99999976108305089</v>
      </c>
      <c r="I73" s="23" cm="1">
        <f t="array" ref="I73">SUMPRODUCT(D73:H73*$K$15:$O$15)</f>
        <v>7.6453423617636575E-3</v>
      </c>
      <c r="J73" s="23">
        <f t="shared" si="7"/>
        <v>4.8931060073645388E-5</v>
      </c>
      <c r="K73" s="23">
        <f t="shared" si="2"/>
        <v>100571.42846657627</v>
      </c>
    </row>
    <row r="74" spans="3:11" x14ac:dyDescent="0.15">
      <c r="C74" s="4">
        <f t="shared" si="1"/>
        <v>55</v>
      </c>
      <c r="D74" s="22">
        <f t="shared" si="8"/>
        <v>0</v>
      </c>
      <c r="E74" s="22">
        <f t="shared" si="3"/>
        <v>1.7918771160383572E-7</v>
      </c>
      <c r="F74" s="22">
        <f t="shared" si="4"/>
        <v>0</v>
      </c>
      <c r="G74" s="22">
        <f t="shared" si="5"/>
        <v>0</v>
      </c>
      <c r="H74" s="22">
        <f t="shared" si="6"/>
        <v>0.99999982081228811</v>
      </c>
      <c r="I74" s="23" cm="1">
        <f t="array" ref="I74">SUMPRODUCT(D74:H74*$K$15:$O$15)</f>
        <v>5.7340067713227433E-3</v>
      </c>
      <c r="J74" s="23">
        <f t="shared" si="7"/>
        <v>3.3362086413849129E-5</v>
      </c>
      <c r="K74" s="23">
        <f t="shared" si="2"/>
        <v>100571.42849993835</v>
      </c>
    </row>
    <row r="75" spans="3:11" x14ac:dyDescent="0.15">
      <c r="C75" s="4">
        <f t="shared" si="1"/>
        <v>56</v>
      </c>
      <c r="D75" s="22">
        <f t="shared" si="8"/>
        <v>0</v>
      </c>
      <c r="E75" s="22">
        <f t="shared" si="3"/>
        <v>1.3439078370287679E-7</v>
      </c>
      <c r="F75" s="22">
        <f t="shared" si="4"/>
        <v>0</v>
      </c>
      <c r="G75" s="22">
        <f t="shared" si="5"/>
        <v>0</v>
      </c>
      <c r="H75" s="22">
        <f t="shared" si="6"/>
        <v>0.99999986560921605</v>
      </c>
      <c r="I75" s="23" cm="1">
        <f t="array" ref="I75">SUMPRODUCT(D75:H75*$K$15:$O$15)</f>
        <v>4.3005050784920571E-3</v>
      </c>
      <c r="J75" s="23">
        <f t="shared" si="7"/>
        <v>2.2746877100351674E-5</v>
      </c>
      <c r="K75" s="23">
        <f t="shared" si="2"/>
        <v>100571.42852268522</v>
      </c>
    </row>
    <row r="76" spans="3:11" x14ac:dyDescent="0.15">
      <c r="C76" s="4">
        <f t="shared" si="1"/>
        <v>57</v>
      </c>
      <c r="D76" s="22">
        <f t="shared" si="8"/>
        <v>0</v>
      </c>
      <c r="E76" s="22">
        <f t="shared" si="3"/>
        <v>1.0079308777715759E-7</v>
      </c>
      <c r="F76" s="22">
        <f t="shared" si="4"/>
        <v>0</v>
      </c>
      <c r="G76" s="22">
        <f t="shared" si="5"/>
        <v>0</v>
      </c>
      <c r="H76" s="22">
        <f t="shared" si="6"/>
        <v>0.99999989920691201</v>
      </c>
      <c r="I76" s="23" cm="1">
        <f t="array" ref="I76">SUMPRODUCT(D76:H76*$K$15:$O$15)</f>
        <v>3.225378808869043E-3</v>
      </c>
      <c r="J76" s="23">
        <f t="shared" si="7"/>
        <v>1.5509234386603418E-5</v>
      </c>
      <c r="K76" s="23">
        <f t="shared" si="2"/>
        <v>100571.42853819445</v>
      </c>
    </row>
    <row r="77" spans="3:11" x14ac:dyDescent="0.15">
      <c r="C77" s="4">
        <f t="shared" si="1"/>
        <v>58</v>
      </c>
      <c r="D77" s="22">
        <f t="shared" si="8"/>
        <v>0</v>
      </c>
      <c r="E77" s="22">
        <f t="shared" si="3"/>
        <v>7.5594815832868201E-8</v>
      </c>
      <c r="F77" s="22">
        <f t="shared" si="4"/>
        <v>0</v>
      </c>
      <c r="G77" s="22">
        <f t="shared" si="5"/>
        <v>0</v>
      </c>
      <c r="H77" s="22">
        <f t="shared" si="6"/>
        <v>0.99999992440518393</v>
      </c>
      <c r="I77" s="23" cm="1">
        <f t="array" ref="I77">SUMPRODUCT(D77:H77*$K$15:$O$15)</f>
        <v>2.4190341066517825E-3</v>
      </c>
      <c r="J77" s="23">
        <f t="shared" si="7"/>
        <v>1.0574477990865964E-5</v>
      </c>
      <c r="K77" s="23">
        <f t="shared" si="2"/>
        <v>100571.42854876893</v>
      </c>
    </row>
    <row r="78" spans="3:11" x14ac:dyDescent="0.15">
      <c r="C78" s="4">
        <f t="shared" si="1"/>
        <v>59</v>
      </c>
      <c r="D78" s="22">
        <f t="shared" si="8"/>
        <v>0</v>
      </c>
      <c r="E78" s="22">
        <f t="shared" si="3"/>
        <v>5.6696111874651151E-8</v>
      </c>
      <c r="F78" s="22">
        <f t="shared" si="4"/>
        <v>0</v>
      </c>
      <c r="G78" s="22">
        <f t="shared" si="5"/>
        <v>0</v>
      </c>
      <c r="H78" s="22">
        <f t="shared" si="6"/>
        <v>0.99999994330388786</v>
      </c>
      <c r="I78" s="23" cm="1">
        <f t="array" ref="I78">SUMPRODUCT(D78:H78*$K$15:$O$15)</f>
        <v>1.8142755799888369E-3</v>
      </c>
      <c r="J78" s="23">
        <f t="shared" si="7"/>
        <v>7.2098713574086125E-6</v>
      </c>
      <c r="K78" s="23">
        <f t="shared" si="2"/>
        <v>100571.42855597881</v>
      </c>
    </row>
    <row r="79" spans="3:11" x14ac:dyDescent="0.15">
      <c r="C79" s="4">
        <f t="shared" si="1"/>
        <v>60</v>
      </c>
      <c r="D79" s="22">
        <f t="shared" si="8"/>
        <v>0</v>
      </c>
      <c r="E79" s="22">
        <f t="shared" si="3"/>
        <v>4.2522083905988365E-8</v>
      </c>
      <c r="F79" s="22">
        <f t="shared" si="4"/>
        <v>0</v>
      </c>
      <c r="G79" s="22">
        <f t="shared" si="5"/>
        <v>0</v>
      </c>
      <c r="H79" s="22">
        <f t="shared" si="6"/>
        <v>0.99999995747791581</v>
      </c>
      <c r="I79" s="23" cm="1">
        <f t="array" ref="I79">SUMPRODUCT(D79:H79*$K$15:$O$15)</f>
        <v>1.3607066849916276E-3</v>
      </c>
      <c r="J79" s="23">
        <f t="shared" si="7"/>
        <v>4.9158213800513256E-6</v>
      </c>
      <c r="K79" s="23">
        <f t="shared" si="2"/>
        <v>100571.42856089464</v>
      </c>
    </row>
    <row r="81" spans="10:11" x14ac:dyDescent="0.15">
      <c r="J81" s="3" t="s">
        <v>51</v>
      </c>
      <c r="K81" s="24">
        <f>K79</f>
        <v>100571.42856089464</v>
      </c>
    </row>
  </sheetData>
  <mergeCells count="4">
    <mergeCell ref="M36:R36"/>
    <mergeCell ref="M32:Q32"/>
    <mergeCell ref="M34:Q34"/>
    <mergeCell ref="D1:E1"/>
  </mergeCell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57238-B6A9-4204-BE91-8D6DA94D0F63}">
  <dimension ref="A1:L52"/>
  <sheetViews>
    <sheetView workbookViewId="0">
      <selection activeCell="C54" sqref="C54"/>
    </sheetView>
  </sheetViews>
  <sheetFormatPr baseColWidth="10" defaultColWidth="8.83203125" defaultRowHeight="15" x14ac:dyDescent="0.2"/>
  <cols>
    <col min="1" max="1" width="41.5" customWidth="1"/>
    <col min="2" max="2" width="27.83203125" customWidth="1"/>
    <col min="3" max="3" width="59" customWidth="1"/>
    <col min="4" max="4" width="34.6640625" customWidth="1"/>
    <col min="5" max="5" width="11.5" customWidth="1"/>
    <col min="6" max="6" width="15.1640625" customWidth="1"/>
    <col min="7" max="7" width="18.5" customWidth="1"/>
    <col min="8" max="8" width="13.5" customWidth="1"/>
    <col min="9" max="9" width="15" customWidth="1"/>
    <col min="10" max="10" width="17.5" customWidth="1"/>
    <col min="11" max="11" width="14" bestFit="1" customWidth="1"/>
    <col min="12" max="12" width="13.5" customWidth="1"/>
  </cols>
  <sheetData>
    <row r="1" spans="1:12" ht="84.75" customHeight="1" x14ac:dyDescent="0.2">
      <c r="A1" s="41" t="s">
        <v>52</v>
      </c>
      <c r="B1" s="42" t="s">
        <v>53</v>
      </c>
      <c r="C1" s="42" t="s">
        <v>54</v>
      </c>
      <c r="D1" s="42" t="s">
        <v>55</v>
      </c>
      <c r="E1" s="41" t="s">
        <v>56</v>
      </c>
      <c r="F1" s="42" t="s">
        <v>57</v>
      </c>
      <c r="G1" s="42" t="s">
        <v>58</v>
      </c>
      <c r="H1" s="42" t="s">
        <v>59</v>
      </c>
      <c r="I1" s="42" t="s">
        <v>60</v>
      </c>
      <c r="J1" s="42" t="s">
        <v>61</v>
      </c>
      <c r="K1" s="42" t="s">
        <v>62</v>
      </c>
      <c r="L1" s="42" t="s">
        <v>63</v>
      </c>
    </row>
    <row r="2" spans="1:12" ht="17" thickBot="1" x14ac:dyDescent="0.25">
      <c r="A2" s="117" t="s">
        <v>64</v>
      </c>
      <c r="B2" s="44" t="s">
        <v>65</v>
      </c>
      <c r="C2" s="45">
        <v>3000</v>
      </c>
      <c r="D2" s="45">
        <v>4000</v>
      </c>
    </row>
    <row r="3" spans="1:12" ht="17" thickBot="1" x14ac:dyDescent="0.25">
      <c r="A3" s="118"/>
      <c r="B3" s="44" t="s">
        <v>66</v>
      </c>
      <c r="C3" s="45">
        <v>3000</v>
      </c>
      <c r="D3" s="45">
        <v>4000</v>
      </c>
    </row>
    <row r="4" spans="1:12" ht="17" thickBot="1" x14ac:dyDescent="0.25">
      <c r="A4" s="118"/>
      <c r="B4" s="44" t="s">
        <v>67</v>
      </c>
      <c r="C4" s="45">
        <v>500</v>
      </c>
      <c r="D4" s="45">
        <v>600</v>
      </c>
    </row>
    <row r="5" spans="1:12" ht="17" thickBot="1" x14ac:dyDescent="0.25">
      <c r="A5" s="119"/>
      <c r="B5" s="44" t="s">
        <v>68</v>
      </c>
      <c r="C5" s="45">
        <v>500</v>
      </c>
      <c r="D5" s="45">
        <v>600</v>
      </c>
    </row>
    <row r="6" spans="1:12" ht="17" thickBot="1" x14ac:dyDescent="0.25">
      <c r="A6" s="117" t="s">
        <v>69</v>
      </c>
      <c r="B6" s="44" t="s">
        <v>65</v>
      </c>
      <c r="C6" s="45">
        <v>8000</v>
      </c>
      <c r="D6" s="45">
        <v>7000</v>
      </c>
    </row>
    <row r="7" spans="1:12" ht="17" thickBot="1" x14ac:dyDescent="0.25">
      <c r="A7" s="118"/>
      <c r="B7" s="44" t="s">
        <v>66</v>
      </c>
      <c r="C7" s="45">
        <v>8000</v>
      </c>
      <c r="D7" s="45">
        <v>7000</v>
      </c>
    </row>
    <row r="8" spans="1:12" ht="17" thickBot="1" x14ac:dyDescent="0.25">
      <c r="A8" s="118"/>
      <c r="B8" s="44" t="s">
        <v>67</v>
      </c>
      <c r="C8" s="45">
        <v>3000</v>
      </c>
      <c r="D8" s="45">
        <v>2500</v>
      </c>
    </row>
    <row r="9" spans="1:12" ht="17" thickBot="1" x14ac:dyDescent="0.25">
      <c r="A9" s="119"/>
      <c r="B9" s="44" t="s">
        <v>68</v>
      </c>
      <c r="C9" s="45">
        <v>3000</v>
      </c>
      <c r="D9" s="45">
        <v>2500</v>
      </c>
    </row>
    <row r="10" spans="1:12" ht="17" thickBot="1" x14ac:dyDescent="0.25">
      <c r="A10" s="117" t="s">
        <v>70</v>
      </c>
      <c r="B10" s="44" t="s">
        <v>65</v>
      </c>
      <c r="C10" s="46">
        <v>0.05</v>
      </c>
      <c r="D10" s="46">
        <v>0.08</v>
      </c>
    </row>
    <row r="11" spans="1:12" ht="17" thickBot="1" x14ac:dyDescent="0.25">
      <c r="A11" s="118"/>
      <c r="B11" s="44" t="s">
        <v>66</v>
      </c>
      <c r="C11" s="46">
        <v>0.08</v>
      </c>
      <c r="D11" s="46">
        <v>0.09</v>
      </c>
    </row>
    <row r="12" spans="1:12" ht="17" thickBot="1" x14ac:dyDescent="0.25">
      <c r="A12" s="118"/>
      <c r="B12" s="44" t="s">
        <v>67</v>
      </c>
      <c r="C12" s="46">
        <v>0.1</v>
      </c>
      <c r="D12" s="46">
        <v>0.12</v>
      </c>
    </row>
    <row r="13" spans="1:12" ht="17" thickBot="1" x14ac:dyDescent="0.25">
      <c r="A13" s="119"/>
      <c r="B13" s="44" t="s">
        <v>68</v>
      </c>
      <c r="C13" s="46">
        <v>0.2</v>
      </c>
      <c r="D13" s="46">
        <v>0.22</v>
      </c>
    </row>
    <row r="14" spans="1:12" ht="33" thickBot="1" x14ac:dyDescent="0.25">
      <c r="A14" s="47" t="s">
        <v>71</v>
      </c>
      <c r="B14" s="44" t="s">
        <v>72</v>
      </c>
      <c r="C14" s="44" t="s">
        <v>73</v>
      </c>
      <c r="D14" s="44" t="s">
        <v>73</v>
      </c>
    </row>
    <row r="15" spans="1:12" ht="17" thickBot="1" x14ac:dyDescent="0.25">
      <c r="A15" s="43" t="s">
        <v>74</v>
      </c>
      <c r="B15" s="44" t="s">
        <v>75</v>
      </c>
      <c r="C15" s="45">
        <v>1000000</v>
      </c>
      <c r="D15" s="78">
        <v>1000000</v>
      </c>
      <c r="E15" s="79">
        <f>C15/$C$3</f>
        <v>333.33333333333331</v>
      </c>
      <c r="F15" s="79">
        <f>D15/$D$3</f>
        <v>250</v>
      </c>
      <c r="G15" s="79">
        <f>$C$11*E15</f>
        <v>26.666666666666664</v>
      </c>
      <c r="H15" s="79">
        <f>$D$11*F15</f>
        <v>22.5</v>
      </c>
      <c r="I15" s="80">
        <f>$C$7*G15</f>
        <v>213333.33333333331</v>
      </c>
      <c r="J15" s="81">
        <f>$D$7*H15</f>
        <v>157500</v>
      </c>
      <c r="K15" s="80">
        <f>I15+C15</f>
        <v>1213333.3333333333</v>
      </c>
      <c r="L15" s="81">
        <f>J15+D15</f>
        <v>1157500</v>
      </c>
    </row>
    <row r="16" spans="1:12" ht="19" thickBot="1" x14ac:dyDescent="0.25">
      <c r="A16" s="43" t="s">
        <v>76</v>
      </c>
      <c r="B16" s="44" t="s">
        <v>77</v>
      </c>
      <c r="C16" s="45">
        <v>2000000</v>
      </c>
      <c r="D16" s="78">
        <v>1200000</v>
      </c>
      <c r="E16" s="79">
        <f>C16/$C$3</f>
        <v>666.66666666666663</v>
      </c>
      <c r="F16" s="79">
        <f>D16/$D$3</f>
        <v>300</v>
      </c>
      <c r="G16" s="79">
        <f t="shared" ref="G16:G19" si="0">$C$11*E16</f>
        <v>53.333333333333329</v>
      </c>
      <c r="H16" s="79">
        <f t="shared" ref="H16:H18" si="1">$D$11*F16</f>
        <v>27</v>
      </c>
      <c r="I16" s="80">
        <f>$C$7*G16</f>
        <v>426666.66666666663</v>
      </c>
      <c r="J16" s="81">
        <f>$D$7*H16</f>
        <v>189000</v>
      </c>
      <c r="K16" s="80">
        <f t="shared" ref="K16:K29" si="2">I16+C16</f>
        <v>2426666.6666666665</v>
      </c>
      <c r="L16" s="81">
        <f>J16+D16</f>
        <v>1389000</v>
      </c>
    </row>
    <row r="17" spans="1:12" ht="17" thickBot="1" x14ac:dyDescent="0.25">
      <c r="A17" s="48"/>
      <c r="B17" s="44" t="s">
        <v>78</v>
      </c>
      <c r="C17" s="45">
        <v>3000000</v>
      </c>
      <c r="D17" s="78">
        <v>1400000</v>
      </c>
      <c r="E17" s="79">
        <f t="shared" ref="E17:E19" si="3">C17/$C$3</f>
        <v>1000</v>
      </c>
      <c r="F17" s="79">
        <f t="shared" ref="F17:F19" si="4">D17/$D$3</f>
        <v>350</v>
      </c>
      <c r="G17" s="79">
        <f t="shared" si="0"/>
        <v>80</v>
      </c>
      <c r="H17" s="79">
        <f t="shared" si="1"/>
        <v>31.5</v>
      </c>
      <c r="I17" s="80">
        <f t="shared" ref="I17:I19" si="5">$C$7*G17</f>
        <v>640000</v>
      </c>
      <c r="J17" s="81">
        <f t="shared" ref="J17:J19" si="6">$D$7*H17</f>
        <v>220500</v>
      </c>
      <c r="K17" s="80">
        <f t="shared" si="2"/>
        <v>3640000</v>
      </c>
      <c r="L17" s="81">
        <f t="shared" ref="L17:L28" si="7">J17+D17</f>
        <v>1620500</v>
      </c>
    </row>
    <row r="18" spans="1:12" ht="17" thickBot="1" x14ac:dyDescent="0.25">
      <c r="A18" s="48"/>
      <c r="B18" s="44" t="s">
        <v>79</v>
      </c>
      <c r="C18" s="45">
        <v>4000000</v>
      </c>
      <c r="D18" s="78">
        <v>1600000</v>
      </c>
      <c r="E18" s="79">
        <f>C18/$C$3</f>
        <v>1333.3333333333333</v>
      </c>
      <c r="F18" s="79">
        <f t="shared" si="4"/>
        <v>400</v>
      </c>
      <c r="G18" s="79">
        <f t="shared" si="0"/>
        <v>106.66666666666666</v>
      </c>
      <c r="H18" s="79">
        <f t="shared" si="1"/>
        <v>36</v>
      </c>
      <c r="I18" s="80">
        <f t="shared" si="5"/>
        <v>853333.33333333326</v>
      </c>
      <c r="J18" s="81">
        <f t="shared" si="6"/>
        <v>252000</v>
      </c>
      <c r="K18" s="80">
        <f t="shared" si="2"/>
        <v>4853333.333333333</v>
      </c>
      <c r="L18" s="81">
        <f t="shared" si="7"/>
        <v>1852000</v>
      </c>
    </row>
    <row r="19" spans="1:12" ht="17" thickBot="1" x14ac:dyDescent="0.25">
      <c r="A19" s="48"/>
      <c r="B19" s="44" t="s">
        <v>80</v>
      </c>
      <c r="C19" s="45">
        <v>5000000</v>
      </c>
      <c r="D19" s="78">
        <v>1800000</v>
      </c>
      <c r="E19" s="79">
        <f t="shared" si="3"/>
        <v>1666.6666666666667</v>
      </c>
      <c r="F19" s="79">
        <f t="shared" si="4"/>
        <v>450</v>
      </c>
      <c r="G19" s="79">
        <f t="shared" si="0"/>
        <v>133.33333333333334</v>
      </c>
      <c r="H19" s="79">
        <f>$D$11*F19</f>
        <v>40.5</v>
      </c>
      <c r="I19" s="80">
        <f t="shared" si="5"/>
        <v>1066666.6666666667</v>
      </c>
      <c r="J19" s="81">
        <f t="shared" si="6"/>
        <v>283500</v>
      </c>
      <c r="K19" s="80">
        <f t="shared" si="2"/>
        <v>6066666.666666667</v>
      </c>
      <c r="L19" s="81">
        <f t="shared" si="7"/>
        <v>2083500</v>
      </c>
    </row>
    <row r="20" spans="1:12" ht="17" thickBot="1" x14ac:dyDescent="0.25">
      <c r="A20" s="48"/>
      <c r="B20" s="44" t="s">
        <v>81</v>
      </c>
      <c r="C20" s="45">
        <v>500000</v>
      </c>
      <c r="D20" s="78">
        <v>1000000</v>
      </c>
      <c r="E20" s="79">
        <f>C20/$C$4</f>
        <v>1000</v>
      </c>
      <c r="F20" s="79">
        <f>D20/$D$4</f>
        <v>1666.6666666666667</v>
      </c>
      <c r="G20" s="79">
        <f>$C$12*E20</f>
        <v>100</v>
      </c>
      <c r="H20" s="79">
        <f>$D$12*F20</f>
        <v>200</v>
      </c>
      <c r="I20" s="80">
        <f>$C$8*G20</f>
        <v>300000</v>
      </c>
      <c r="J20" s="81">
        <f>$D$8*H20</f>
        <v>500000</v>
      </c>
      <c r="K20" s="80">
        <f t="shared" si="2"/>
        <v>800000</v>
      </c>
      <c r="L20" s="81">
        <f t="shared" si="7"/>
        <v>1500000</v>
      </c>
    </row>
    <row r="21" spans="1:12" ht="17" thickBot="1" x14ac:dyDescent="0.25">
      <c r="A21" s="48"/>
      <c r="B21" s="44" t="s">
        <v>82</v>
      </c>
      <c r="C21" s="45">
        <v>1000000</v>
      </c>
      <c r="D21" s="78">
        <v>1500000</v>
      </c>
      <c r="E21" s="79">
        <f>C21/$C$4</f>
        <v>2000</v>
      </c>
      <c r="F21" s="79">
        <f t="shared" ref="F21:F29" si="8">D21/$D$4</f>
        <v>2500</v>
      </c>
      <c r="G21" s="79">
        <f t="shared" ref="G21:G23" si="9">$C$12*E21</f>
        <v>200</v>
      </c>
      <c r="H21" s="79">
        <f t="shared" ref="H21:H24" si="10">$D$12*F21</f>
        <v>300</v>
      </c>
      <c r="I21" s="80">
        <f t="shared" ref="I21:I24" si="11">$C$8*G21</f>
        <v>600000</v>
      </c>
      <c r="J21" s="81">
        <f t="shared" ref="J21:J24" si="12">$D$8*H21</f>
        <v>750000</v>
      </c>
      <c r="K21" s="80">
        <f t="shared" si="2"/>
        <v>1600000</v>
      </c>
      <c r="L21" s="81">
        <f t="shared" si="7"/>
        <v>2250000</v>
      </c>
    </row>
    <row r="22" spans="1:12" ht="17" thickBot="1" x14ac:dyDescent="0.25">
      <c r="A22" s="48"/>
      <c r="B22" s="44" t="s">
        <v>83</v>
      </c>
      <c r="C22" s="45">
        <v>2000000</v>
      </c>
      <c r="D22" s="78">
        <v>2500000</v>
      </c>
      <c r="E22" s="79">
        <f t="shared" ref="E22:E29" si="13">C22/$C$4</f>
        <v>4000</v>
      </c>
      <c r="F22" s="79">
        <f t="shared" si="8"/>
        <v>4166.666666666667</v>
      </c>
      <c r="G22" s="79">
        <f t="shared" si="9"/>
        <v>400</v>
      </c>
      <c r="H22" s="79">
        <f t="shared" si="10"/>
        <v>500</v>
      </c>
      <c r="I22" s="80">
        <f t="shared" si="11"/>
        <v>1200000</v>
      </c>
      <c r="J22" s="81">
        <f t="shared" si="12"/>
        <v>1250000</v>
      </c>
      <c r="K22" s="80">
        <f t="shared" si="2"/>
        <v>3200000</v>
      </c>
      <c r="L22" s="81">
        <f t="shared" si="7"/>
        <v>3750000</v>
      </c>
    </row>
    <row r="23" spans="1:12" ht="17" thickBot="1" x14ac:dyDescent="0.25">
      <c r="A23" s="48"/>
      <c r="B23" s="44" t="s">
        <v>84</v>
      </c>
      <c r="C23" s="45">
        <v>3000000</v>
      </c>
      <c r="D23" s="78">
        <v>3500000</v>
      </c>
      <c r="E23" s="79">
        <f t="shared" si="13"/>
        <v>6000</v>
      </c>
      <c r="F23" s="79">
        <f t="shared" si="8"/>
        <v>5833.333333333333</v>
      </c>
      <c r="G23" s="79">
        <f t="shared" si="9"/>
        <v>600</v>
      </c>
      <c r="H23" s="79">
        <f t="shared" si="10"/>
        <v>699.99999999999989</v>
      </c>
      <c r="I23" s="80">
        <f t="shared" si="11"/>
        <v>1800000</v>
      </c>
      <c r="J23" s="81">
        <f t="shared" si="12"/>
        <v>1749999.9999999998</v>
      </c>
      <c r="K23" s="80">
        <f t="shared" si="2"/>
        <v>4800000</v>
      </c>
      <c r="L23" s="81">
        <f t="shared" si="7"/>
        <v>5250000</v>
      </c>
    </row>
    <row r="24" spans="1:12" ht="17" thickBot="1" x14ac:dyDescent="0.25">
      <c r="A24" s="48"/>
      <c r="B24" s="44" t="s">
        <v>85</v>
      </c>
      <c r="C24" s="45">
        <v>3500000</v>
      </c>
      <c r="D24" s="78">
        <v>4500000</v>
      </c>
      <c r="E24" s="79">
        <f t="shared" si="13"/>
        <v>7000</v>
      </c>
      <c r="F24" s="79">
        <f t="shared" si="8"/>
        <v>7500</v>
      </c>
      <c r="G24" s="79">
        <f>$C$12*E24</f>
        <v>700</v>
      </c>
      <c r="H24" s="79">
        <f t="shared" si="10"/>
        <v>900</v>
      </c>
      <c r="I24" s="80">
        <f t="shared" si="11"/>
        <v>2100000</v>
      </c>
      <c r="J24" s="81">
        <f t="shared" si="12"/>
        <v>2250000</v>
      </c>
      <c r="K24" s="80">
        <f t="shared" si="2"/>
        <v>5600000</v>
      </c>
      <c r="L24" s="81">
        <f t="shared" si="7"/>
        <v>6750000</v>
      </c>
    </row>
    <row r="25" spans="1:12" ht="17" thickBot="1" x14ac:dyDescent="0.25">
      <c r="A25" s="48"/>
      <c r="B25" s="44" t="s">
        <v>86</v>
      </c>
      <c r="C25" s="45">
        <v>500000</v>
      </c>
      <c r="D25" s="78">
        <v>500000</v>
      </c>
      <c r="E25" s="79">
        <f t="shared" si="13"/>
        <v>1000</v>
      </c>
      <c r="F25" s="79">
        <f t="shared" si="8"/>
        <v>833.33333333333337</v>
      </c>
      <c r="G25" s="79">
        <f>$C$13*E25</f>
        <v>200</v>
      </c>
      <c r="H25" s="79">
        <f>$D$13*F25</f>
        <v>183.33333333333334</v>
      </c>
      <c r="I25" s="80">
        <f>$C$9*G25</f>
        <v>600000</v>
      </c>
      <c r="J25" s="81">
        <f>$D$9*H25</f>
        <v>458333.33333333337</v>
      </c>
      <c r="K25" s="80">
        <f t="shared" si="2"/>
        <v>1100000</v>
      </c>
      <c r="L25" s="81">
        <f t="shared" si="7"/>
        <v>958333.33333333337</v>
      </c>
    </row>
    <row r="26" spans="1:12" ht="17" thickBot="1" x14ac:dyDescent="0.25">
      <c r="A26" s="48"/>
      <c r="B26" s="44" t="s">
        <v>87</v>
      </c>
      <c r="C26" s="45">
        <v>1500000</v>
      </c>
      <c r="D26" s="78">
        <v>750000</v>
      </c>
      <c r="E26" s="79">
        <f t="shared" si="13"/>
        <v>3000</v>
      </c>
      <c r="F26" s="79">
        <f t="shared" si="8"/>
        <v>1250</v>
      </c>
      <c r="G26" s="79">
        <f t="shared" ref="G26:G29" si="14">$C$13*E26</f>
        <v>600</v>
      </c>
      <c r="H26" s="79">
        <f t="shared" ref="H26:H29" si="15">$D$13*F26</f>
        <v>275</v>
      </c>
      <c r="I26" s="80">
        <f t="shared" ref="I26:I29" si="16">$C$9*G26</f>
        <v>1800000</v>
      </c>
      <c r="J26" s="81">
        <f t="shared" ref="J26:J29" si="17">$D$9*H26</f>
        <v>687500</v>
      </c>
      <c r="K26" s="80">
        <f t="shared" si="2"/>
        <v>3300000</v>
      </c>
      <c r="L26" s="81">
        <f t="shared" si="7"/>
        <v>1437500</v>
      </c>
    </row>
    <row r="27" spans="1:12" ht="17" thickBot="1" x14ac:dyDescent="0.25">
      <c r="A27" s="48"/>
      <c r="B27" s="44" t="s">
        <v>88</v>
      </c>
      <c r="C27" s="45">
        <v>2500000</v>
      </c>
      <c r="D27" s="78">
        <v>1000000</v>
      </c>
      <c r="E27" s="79">
        <f t="shared" si="13"/>
        <v>5000</v>
      </c>
      <c r="F27" s="79">
        <f t="shared" si="8"/>
        <v>1666.6666666666667</v>
      </c>
      <c r="G27" s="79">
        <f t="shared" si="14"/>
        <v>1000</v>
      </c>
      <c r="H27" s="79">
        <f t="shared" si="15"/>
        <v>366.66666666666669</v>
      </c>
      <c r="I27" s="80">
        <f t="shared" si="16"/>
        <v>3000000</v>
      </c>
      <c r="J27" s="81">
        <f t="shared" si="17"/>
        <v>916666.66666666674</v>
      </c>
      <c r="K27" s="80">
        <f t="shared" si="2"/>
        <v>5500000</v>
      </c>
      <c r="L27" s="81">
        <f t="shared" si="7"/>
        <v>1916666.6666666667</v>
      </c>
    </row>
    <row r="28" spans="1:12" ht="17" thickBot="1" x14ac:dyDescent="0.25">
      <c r="A28" s="48"/>
      <c r="B28" s="44" t="s">
        <v>89</v>
      </c>
      <c r="C28" s="45">
        <v>3500000</v>
      </c>
      <c r="D28" s="78">
        <v>1250000</v>
      </c>
      <c r="E28" s="79">
        <f t="shared" si="13"/>
        <v>7000</v>
      </c>
      <c r="F28" s="79">
        <f t="shared" si="8"/>
        <v>2083.3333333333335</v>
      </c>
      <c r="G28" s="79">
        <f t="shared" si="14"/>
        <v>1400</v>
      </c>
      <c r="H28" s="79">
        <f t="shared" si="15"/>
        <v>458.33333333333337</v>
      </c>
      <c r="I28" s="80">
        <f t="shared" si="16"/>
        <v>4200000</v>
      </c>
      <c r="J28" s="81">
        <f t="shared" si="17"/>
        <v>1145833.3333333335</v>
      </c>
      <c r="K28" s="80">
        <f t="shared" si="2"/>
        <v>7700000</v>
      </c>
      <c r="L28" s="81">
        <f t="shared" si="7"/>
        <v>2395833.3333333335</v>
      </c>
    </row>
    <row r="29" spans="1:12" ht="17" thickBot="1" x14ac:dyDescent="0.25">
      <c r="A29" s="49"/>
      <c r="B29" s="44" t="s">
        <v>90</v>
      </c>
      <c r="C29" s="45">
        <v>4500000</v>
      </c>
      <c r="D29" s="78">
        <v>1500000</v>
      </c>
      <c r="E29" s="79">
        <f t="shared" si="13"/>
        <v>9000</v>
      </c>
      <c r="F29" s="79">
        <f t="shared" si="8"/>
        <v>2500</v>
      </c>
      <c r="G29" s="79">
        <f t="shared" si="14"/>
        <v>1800</v>
      </c>
      <c r="H29" s="79">
        <f t="shared" si="15"/>
        <v>550</v>
      </c>
      <c r="I29" s="80">
        <f t="shared" si="16"/>
        <v>5400000</v>
      </c>
      <c r="J29" s="81">
        <f t="shared" si="17"/>
        <v>1375000</v>
      </c>
      <c r="K29" s="80">
        <f t="shared" si="2"/>
        <v>9900000</v>
      </c>
      <c r="L29" s="81">
        <f>J29+D29</f>
        <v>2875000</v>
      </c>
    </row>
    <row r="30" spans="1:12" x14ac:dyDescent="0.2">
      <c r="A30" s="102"/>
      <c r="B30" s="103"/>
      <c r="C30" s="104"/>
      <c r="D30" s="104"/>
      <c r="E30" s="105"/>
      <c r="F30" s="105"/>
      <c r="G30" s="105"/>
      <c r="H30" s="105"/>
      <c r="I30" s="106"/>
      <c r="J30" s="107"/>
      <c r="K30" s="106"/>
      <c r="L30" s="107"/>
    </row>
    <row r="31" spans="1:12" ht="48" x14ac:dyDescent="0.2">
      <c r="A31" s="102" t="s">
        <v>91</v>
      </c>
      <c r="B31" s="103"/>
      <c r="C31" s="104"/>
      <c r="D31" s="104"/>
      <c r="E31" s="105"/>
      <c r="F31" s="105"/>
      <c r="G31" s="105"/>
      <c r="H31" s="105"/>
      <c r="I31" s="106"/>
      <c r="J31" s="107"/>
      <c r="K31" s="106"/>
      <c r="L31" s="107"/>
    </row>
    <row r="32" spans="1:12" x14ac:dyDescent="0.2">
      <c r="K32" s="2"/>
      <c r="L32" s="2"/>
    </row>
    <row r="33" spans="1:4" x14ac:dyDescent="0.2">
      <c r="A33" s="65" t="s">
        <v>92</v>
      </c>
    </row>
    <row r="34" spans="1:4" ht="16" x14ac:dyDescent="0.2">
      <c r="B34" s="54" t="s">
        <v>54</v>
      </c>
      <c r="C34" t="s">
        <v>55</v>
      </c>
    </row>
    <row r="35" spans="1:4" x14ac:dyDescent="0.2">
      <c r="A35" t="s">
        <v>93</v>
      </c>
      <c r="B35" s="61">
        <f>Q4_yr1!N27+'Q4_yr2-5'!N26+'Q4_yr2-5'!N34+'Q4_yr2-5'!N42+'Q4_yr2-5'!N50</f>
        <v>626260320.20359921</v>
      </c>
      <c r="C35" s="61">
        <f>Q4_yr1!R27+'Q4_yr2-5'!R26+'Q4_yr2-5'!R34+'Q4_yr2-5'!R42+'Q4_yr2-5'!R50</f>
        <v>529998718.29233021</v>
      </c>
      <c r="D35" s="61"/>
    </row>
    <row r="36" spans="1:4" x14ac:dyDescent="0.2">
      <c r="A36" t="s">
        <v>94</v>
      </c>
      <c r="B36" s="61">
        <f>Q4_yr1!P27+'Q4_yr2-5'!P26+'Q4_yr2-5'!P34+'Q4_yr2-5'!P42+'Q4_yr2-5'!P50</f>
        <v>524047910.01680213</v>
      </c>
      <c r="C36" s="61">
        <f>Q4_yr1!T27+'Q4_yr2-5'!T26+'Q4_yr2-5'!T34+'Q4_yr2-5'!T42+'Q4_yr2-5'!T50</f>
        <v>440118242.47888345</v>
      </c>
    </row>
    <row r="37" spans="1:4" ht="64" x14ac:dyDescent="0.2">
      <c r="A37" t="s">
        <v>95</v>
      </c>
      <c r="B37" s="1">
        <f>SUM(K15:K29)</f>
        <v>61700000</v>
      </c>
      <c r="C37" s="1">
        <f>SUM(L15:L29)</f>
        <v>37185833.333333336</v>
      </c>
      <c r="D37" s="108" t="s">
        <v>96</v>
      </c>
    </row>
    <row r="38" spans="1:4" x14ac:dyDescent="0.2">
      <c r="A38" t="s">
        <v>97</v>
      </c>
      <c r="B38" s="76">
        <f>B35-B37</f>
        <v>564560320.20359921</v>
      </c>
      <c r="C38" s="61">
        <f>C35-C37</f>
        <v>492812884.95899689</v>
      </c>
    </row>
    <row r="39" spans="1:4" x14ac:dyDescent="0.2">
      <c r="A39" t="s">
        <v>98</v>
      </c>
      <c r="B39" s="76">
        <f>B36-B37</f>
        <v>462347910.01680213</v>
      </c>
      <c r="C39" s="61">
        <f>C36-C37</f>
        <v>402932409.14555013</v>
      </c>
    </row>
    <row r="40" spans="1:4" ht="48" x14ac:dyDescent="0.2">
      <c r="B40" s="112" t="s">
        <v>99</v>
      </c>
    </row>
    <row r="42" spans="1:4" x14ac:dyDescent="0.2">
      <c r="A42" s="65" t="s">
        <v>100</v>
      </c>
    </row>
    <row r="43" spans="1:4" x14ac:dyDescent="0.2">
      <c r="A43" t="s">
        <v>101</v>
      </c>
      <c r="B43" s="62">
        <v>20000</v>
      </c>
    </row>
    <row r="44" spans="1:4" x14ac:dyDescent="0.2">
      <c r="A44" t="s">
        <v>102</v>
      </c>
      <c r="B44" s="63">
        <v>0.05</v>
      </c>
    </row>
    <row r="45" spans="1:4" x14ac:dyDescent="0.2">
      <c r="A45" t="s">
        <v>103</v>
      </c>
      <c r="B45">
        <v>1000</v>
      </c>
      <c r="C45" t="s">
        <v>104</v>
      </c>
    </row>
    <row r="46" spans="1:4" x14ac:dyDescent="0.2">
      <c r="A46" t="s">
        <v>105</v>
      </c>
      <c r="B46" s="62">
        <v>11000</v>
      </c>
      <c r="C46" t="s">
        <v>106</v>
      </c>
    </row>
    <row r="47" spans="1:4" x14ac:dyDescent="0.2">
      <c r="A47" t="s">
        <v>107</v>
      </c>
      <c r="B47" s="62">
        <v>9000</v>
      </c>
      <c r="C47" t="s">
        <v>108</v>
      </c>
    </row>
    <row r="49" spans="1:3" x14ac:dyDescent="0.2">
      <c r="A49" t="s">
        <v>109</v>
      </c>
      <c r="B49" s="61">
        <f>'Q1-Q3'!N25</f>
        <v>100571.428560895</v>
      </c>
      <c r="C49" s="61">
        <f>B49*B45</f>
        <v>100571428.560895</v>
      </c>
    </row>
    <row r="50" spans="1:3" x14ac:dyDescent="0.2">
      <c r="A50" t="s">
        <v>110</v>
      </c>
      <c r="B50" s="61">
        <f>'Q1-Q3'!P25</f>
        <v>85752.475923775695</v>
      </c>
      <c r="C50" s="61">
        <f>B50*B45</f>
        <v>85752475.923775703</v>
      </c>
    </row>
    <row r="51" spans="1:3" x14ac:dyDescent="0.2">
      <c r="A51" t="s">
        <v>111</v>
      </c>
      <c r="B51" s="62"/>
      <c r="C51" s="64">
        <f>B46*B43+B47*B45</f>
        <v>229000000</v>
      </c>
    </row>
    <row r="52" spans="1:3" x14ac:dyDescent="0.2">
      <c r="C52" s="66" t="s">
        <v>112</v>
      </c>
    </row>
  </sheetData>
  <mergeCells count="3">
    <mergeCell ref="A2:A5"/>
    <mergeCell ref="A6:A9"/>
    <mergeCell ref="A10:A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58D0F-12CF-4DE0-A389-5EF28984E80A}">
  <dimension ref="B2:T77"/>
  <sheetViews>
    <sheetView topLeftCell="F25" zoomScale="111" zoomScaleNormal="60" workbookViewId="0">
      <selection activeCell="I15" sqref="I15"/>
    </sheetView>
  </sheetViews>
  <sheetFormatPr baseColWidth="10" defaultColWidth="8.6640625" defaultRowHeight="13" x14ac:dyDescent="0.15"/>
  <cols>
    <col min="1" max="1" width="8.6640625" style="4"/>
    <col min="2" max="2" width="40.33203125" style="4" customWidth="1"/>
    <col min="3" max="5" width="8.6640625" style="4"/>
    <col min="6" max="6" width="35.33203125" style="4" customWidth="1"/>
    <col min="7" max="7" width="8.6640625" style="4"/>
    <col min="8" max="8" width="12.1640625" style="4" bestFit="1" customWidth="1"/>
    <col min="9" max="9" width="25.1640625" style="4" customWidth="1"/>
    <col min="10" max="10" width="20.6640625" style="4" customWidth="1"/>
    <col min="11" max="11" width="19.1640625" style="4" customWidth="1"/>
    <col min="12" max="12" width="9.83203125" style="4" bestFit="1" customWidth="1"/>
    <col min="13" max="13" width="33.1640625" style="4" customWidth="1"/>
    <col min="14" max="14" width="18.5" style="4" customWidth="1"/>
    <col min="15" max="15" width="29" style="4" customWidth="1"/>
    <col min="16" max="16" width="16.5" style="4" customWidth="1"/>
    <col min="17" max="17" width="28.33203125" style="4" customWidth="1"/>
    <col min="18" max="18" width="19" style="4" customWidth="1"/>
    <col min="19" max="19" width="25.33203125" style="4" customWidth="1"/>
    <col min="20" max="20" width="16.6640625" style="4" customWidth="1"/>
    <col min="21" max="16384" width="8.6640625" style="4"/>
  </cols>
  <sheetData>
    <row r="2" spans="2:17" x14ac:dyDescent="0.15">
      <c r="G2" s="5"/>
      <c r="H2" s="6" t="s">
        <v>0</v>
      </c>
      <c r="I2" s="6" t="s">
        <v>1</v>
      </c>
      <c r="J2" s="6" t="s">
        <v>113</v>
      </c>
      <c r="K2" s="87" t="s">
        <v>2</v>
      </c>
      <c r="L2" s="109" t="s">
        <v>3</v>
      </c>
      <c r="M2" s="9"/>
      <c r="N2" s="9"/>
      <c r="O2" s="9"/>
      <c r="P2" s="9"/>
      <c r="Q2" s="10"/>
    </row>
    <row r="3" spans="2:17" ht="42" x14ac:dyDescent="0.2">
      <c r="B3" t="s">
        <v>4</v>
      </c>
      <c r="C3">
        <v>150</v>
      </c>
      <c r="D3" t="s">
        <v>5</v>
      </c>
      <c r="G3" s="11" t="s">
        <v>6</v>
      </c>
      <c r="H3" s="50">
        <f>C3*C5*12</f>
        <v>180000</v>
      </c>
      <c r="I3" s="50">
        <v>117000</v>
      </c>
      <c r="J3" s="50">
        <f>H3-I3</f>
        <v>63000</v>
      </c>
      <c r="K3" s="83">
        <v>5000</v>
      </c>
      <c r="L3" s="110">
        <f>J3-K3</f>
        <v>58000</v>
      </c>
    </row>
    <row r="4" spans="2:17" ht="28" x14ac:dyDescent="0.2">
      <c r="B4" t="s">
        <v>7</v>
      </c>
      <c r="C4">
        <v>20</v>
      </c>
      <c r="D4" t="s">
        <v>5</v>
      </c>
      <c r="G4" s="11" t="s">
        <v>8</v>
      </c>
      <c r="H4" s="50">
        <f>C3*C6*12</f>
        <v>144000</v>
      </c>
      <c r="I4" s="50">
        <v>108000</v>
      </c>
      <c r="J4" s="50">
        <f t="shared" ref="J4:J5" si="0">H4-I4</f>
        <v>36000</v>
      </c>
      <c r="K4" s="83">
        <v>4000</v>
      </c>
      <c r="L4" s="110">
        <f t="shared" ref="L4:L6" si="1">J4-K4</f>
        <v>32000</v>
      </c>
    </row>
    <row r="5" spans="2:17" ht="42" x14ac:dyDescent="0.2">
      <c r="B5" t="s">
        <v>9</v>
      </c>
      <c r="C5" s="2">
        <v>100</v>
      </c>
      <c r="D5" t="s">
        <v>10</v>
      </c>
      <c r="G5" s="11" t="s">
        <v>11</v>
      </c>
      <c r="H5" s="50">
        <f>C4*C5*12</f>
        <v>24000</v>
      </c>
      <c r="I5" s="50">
        <v>13200</v>
      </c>
      <c r="J5" s="50">
        <f t="shared" si="0"/>
        <v>10800</v>
      </c>
      <c r="K5" s="83">
        <v>1500</v>
      </c>
      <c r="L5" s="110">
        <f t="shared" si="1"/>
        <v>9300</v>
      </c>
    </row>
    <row r="6" spans="2:17" ht="28" x14ac:dyDescent="0.2">
      <c r="B6" t="s">
        <v>12</v>
      </c>
      <c r="C6" s="2">
        <v>80</v>
      </c>
      <c r="D6" t="s">
        <v>10</v>
      </c>
      <c r="G6" s="17" t="s">
        <v>13</v>
      </c>
      <c r="H6" s="69">
        <f>C4*C6*12</f>
        <v>19200</v>
      </c>
      <c r="I6" s="69">
        <v>12000</v>
      </c>
      <c r="J6" s="69">
        <f>H6-I6</f>
        <v>7200</v>
      </c>
      <c r="K6" s="85">
        <v>1000</v>
      </c>
      <c r="L6" s="111">
        <f t="shared" si="1"/>
        <v>6200</v>
      </c>
    </row>
    <row r="7" spans="2:17" ht="15" x14ac:dyDescent="0.2">
      <c r="B7"/>
      <c r="C7" s="2"/>
      <c r="D7"/>
    </row>
    <row r="8" spans="2:17" x14ac:dyDescent="0.15">
      <c r="B8" s="3" t="s">
        <v>14</v>
      </c>
    </row>
    <row r="9" spans="2:17" x14ac:dyDescent="0.15">
      <c r="B9" s="88"/>
      <c r="C9" s="87"/>
      <c r="D9" s="6"/>
      <c r="E9" s="6" t="s">
        <v>15</v>
      </c>
      <c r="F9" s="6"/>
      <c r="G9" s="6"/>
      <c r="H9" s="7"/>
      <c r="J9" s="71" t="s">
        <v>16</v>
      </c>
      <c r="K9" s="72"/>
      <c r="L9" s="72">
        <v>10</v>
      </c>
      <c r="M9" s="73" t="s">
        <v>17</v>
      </c>
    </row>
    <row r="10" spans="2:17" ht="41" customHeight="1" x14ac:dyDescent="0.15">
      <c r="B10" s="89"/>
      <c r="C10" s="83"/>
      <c r="D10" s="9" t="s">
        <v>6</v>
      </c>
      <c r="E10" s="9" t="s">
        <v>8</v>
      </c>
      <c r="F10" s="9" t="s">
        <v>11</v>
      </c>
      <c r="G10" s="9" t="s">
        <v>13</v>
      </c>
      <c r="H10" s="10" t="s">
        <v>18</v>
      </c>
    </row>
    <row r="11" spans="2:17" ht="42" x14ac:dyDescent="0.15">
      <c r="B11" s="89"/>
      <c r="C11" s="84" t="s">
        <v>6</v>
      </c>
      <c r="D11" s="29">
        <v>0.55000000000000004</v>
      </c>
      <c r="E11" s="29">
        <v>0.1</v>
      </c>
      <c r="F11" s="29">
        <v>0</v>
      </c>
      <c r="G11" s="29">
        <v>0</v>
      </c>
      <c r="H11" s="12">
        <v>0.35</v>
      </c>
      <c r="J11" s="3" t="s">
        <v>19</v>
      </c>
    </row>
    <row r="12" spans="2:17" ht="28" x14ac:dyDescent="0.15">
      <c r="B12" s="89" t="s">
        <v>20</v>
      </c>
      <c r="C12" s="84" t="s">
        <v>8</v>
      </c>
      <c r="D12" s="29">
        <v>0</v>
      </c>
      <c r="E12" s="29">
        <v>0.75</v>
      </c>
      <c r="F12" s="29">
        <v>0</v>
      </c>
      <c r="G12" s="29">
        <v>0</v>
      </c>
      <c r="H12" s="12">
        <v>0.25</v>
      </c>
      <c r="J12" s="13" t="s">
        <v>21</v>
      </c>
      <c r="K12" s="74" t="s">
        <v>6</v>
      </c>
      <c r="L12" s="74" t="s">
        <v>8</v>
      </c>
      <c r="M12" s="74" t="s">
        <v>11</v>
      </c>
      <c r="N12" s="74" t="s">
        <v>13</v>
      </c>
      <c r="O12" s="75" t="s">
        <v>18</v>
      </c>
    </row>
    <row r="13" spans="2:17" ht="42" x14ac:dyDescent="0.15">
      <c r="B13" s="89" t="s">
        <v>22</v>
      </c>
      <c r="C13" s="84" t="s">
        <v>11</v>
      </c>
      <c r="D13" s="29">
        <v>0</v>
      </c>
      <c r="E13" s="29">
        <v>0</v>
      </c>
      <c r="F13" s="29">
        <v>0.57999999999999996</v>
      </c>
      <c r="G13" s="29">
        <v>0.02</v>
      </c>
      <c r="H13" s="12">
        <v>0.4</v>
      </c>
      <c r="J13" s="14" t="s">
        <v>23</v>
      </c>
      <c r="K13" s="52">
        <f>J3-K3</f>
        <v>58000</v>
      </c>
      <c r="L13" s="52">
        <f>J4-K4</f>
        <v>32000</v>
      </c>
      <c r="M13" s="15">
        <f>J5-K5</f>
        <v>9300</v>
      </c>
      <c r="N13" s="52">
        <f>J6-K6</f>
        <v>6200</v>
      </c>
      <c r="O13" s="16">
        <v>0</v>
      </c>
    </row>
    <row r="14" spans="2:17" ht="28" x14ac:dyDescent="0.15">
      <c r="B14" s="89"/>
      <c r="C14" s="84" t="s">
        <v>13</v>
      </c>
      <c r="D14" s="29">
        <v>0</v>
      </c>
      <c r="E14" s="29">
        <v>0</v>
      </c>
      <c r="F14" s="29">
        <v>0</v>
      </c>
      <c r="G14" s="29">
        <v>0.7</v>
      </c>
      <c r="H14" s="12">
        <v>0.3</v>
      </c>
    </row>
    <row r="15" spans="2:17" ht="15" x14ac:dyDescent="0.15">
      <c r="B15" s="90"/>
      <c r="C15" s="86" t="s">
        <v>18</v>
      </c>
      <c r="D15" s="18">
        <v>0</v>
      </c>
      <c r="E15" s="18">
        <v>0</v>
      </c>
      <c r="F15" s="18">
        <v>0</v>
      </c>
      <c r="G15" s="18">
        <v>0</v>
      </c>
      <c r="H15" s="19">
        <v>1</v>
      </c>
    </row>
    <row r="16" spans="2:17" x14ac:dyDescent="0.15">
      <c r="L16" s="23"/>
    </row>
    <row r="17" spans="3:20" ht="42" x14ac:dyDescent="0.15">
      <c r="C17" s="20" t="s">
        <v>24</v>
      </c>
      <c r="D17" s="21" t="s">
        <v>6</v>
      </c>
      <c r="E17" s="21" t="s">
        <v>8</v>
      </c>
      <c r="F17" s="21" t="s">
        <v>11</v>
      </c>
      <c r="G17" s="21" t="s">
        <v>13</v>
      </c>
      <c r="H17" s="21" t="s">
        <v>18</v>
      </c>
      <c r="I17" s="21" t="s">
        <v>25</v>
      </c>
      <c r="J17" s="21" t="s">
        <v>26</v>
      </c>
      <c r="K17" s="21" t="s">
        <v>27</v>
      </c>
    </row>
    <row r="18" spans="3:20" x14ac:dyDescent="0.15">
      <c r="C18" s="4">
        <v>1</v>
      </c>
      <c r="D18" s="22">
        <v>1</v>
      </c>
      <c r="E18" s="22">
        <v>0</v>
      </c>
      <c r="F18" s="22">
        <v>0</v>
      </c>
      <c r="G18" s="22">
        <v>0</v>
      </c>
      <c r="H18" s="22">
        <v>0</v>
      </c>
      <c r="I18" s="23" cm="1">
        <f t="array" ref="I18">SUMPRODUCT(D18:H18*$K$13:$O$13)</f>
        <v>58000</v>
      </c>
      <c r="J18" s="23">
        <f>I18/(1+$L$9/(100))^(C18-1)</f>
        <v>58000</v>
      </c>
      <c r="K18" s="23">
        <f>J18</f>
        <v>58000</v>
      </c>
      <c r="M18" s="3" t="s">
        <v>114</v>
      </c>
      <c r="N18" s="24">
        <f>K77</f>
        <v>134285.71428044728</v>
      </c>
    </row>
    <row r="19" spans="3:20" x14ac:dyDescent="0.15">
      <c r="C19" s="4">
        <f t="shared" ref="C19:C77" si="2">C18+1</f>
        <v>2</v>
      </c>
      <c r="D19" s="22">
        <f>D18*$D$11+E18*$D$12+F18*$D$13+G18*$D$14+ H18*$D$15</f>
        <v>0.55000000000000004</v>
      </c>
      <c r="E19" s="22">
        <f>D18*$E$11+E18*$E$12+F18*$E$13+G18*$E$14+H18*$E$15</f>
        <v>0.1</v>
      </c>
      <c r="F19" s="22">
        <f>D18*$F$11+E18*$F$12+F18*$F$13+G18*$F$14+H18*$F$15</f>
        <v>0</v>
      </c>
      <c r="G19" s="22">
        <f>D18*$G$11+E18*$G$12+F18*$G$13+G18*$G$14+H18*$G$15</f>
        <v>0</v>
      </c>
      <c r="H19" s="22">
        <f>D18*$H$11+E18*$H$12+F18*$H$13+G18*$H$14+H18*$H$15</f>
        <v>0.35</v>
      </c>
      <c r="I19" s="23" cm="1">
        <f t="array" ref="I19">SUMPRODUCT(D19:H19*$K$13:$O$13)</f>
        <v>35100</v>
      </c>
      <c r="J19" s="23">
        <f>I19/(1+$L$9/(100))^(C19-1)</f>
        <v>31909.090909090908</v>
      </c>
      <c r="K19" s="23">
        <f t="shared" ref="K19:K77" si="3">K18+J19</f>
        <v>89909.090909090912</v>
      </c>
    </row>
    <row r="20" spans="3:20" ht="14" thickBot="1" x14ac:dyDescent="0.2">
      <c r="C20" s="4">
        <f t="shared" si="2"/>
        <v>3</v>
      </c>
      <c r="D20" s="22">
        <f t="shared" ref="D20:D77" si="4">D19*$D$11+E19*$D$12+F19*$D$13+G19*$D$14+ H19*$D$15</f>
        <v>0.30250000000000005</v>
      </c>
      <c r="E20" s="22">
        <f t="shared" ref="E20:E77" si="5">D19*$E$11+E19*$E$12+F19*$E$13+G19*$E$14+H19*$E$15</f>
        <v>0.13</v>
      </c>
      <c r="F20" s="22">
        <f t="shared" ref="F20:F77" si="6">D19*$F$11+E19*$F$12+F19*$F$13+G19*$F$14+H19*$F$15</f>
        <v>0</v>
      </c>
      <c r="G20" s="22">
        <f t="shared" ref="G20:G77" si="7">D19*$G$11+E19*$G$12+F19*$G$13+G19*$G$14+H19*$G$15</f>
        <v>0</v>
      </c>
      <c r="H20" s="22">
        <f t="shared" ref="H20:H77" si="8">D19*$H$11+E19*$H$12+F19*$H$13+G19*$H$14+H19*$H$15</f>
        <v>0.5675</v>
      </c>
      <c r="I20" s="23" cm="1">
        <f t="array" ref="I20">SUMPRODUCT(D20:H20*$K$13:$O$13)</f>
        <v>21705.000000000004</v>
      </c>
      <c r="J20" s="23">
        <f t="shared" ref="J20:J77" si="9">I20/(1+$L$9/(100))^(C20-1)</f>
        <v>17938.016528925618</v>
      </c>
      <c r="K20" s="23">
        <f t="shared" si="3"/>
        <v>107847.10743801654</v>
      </c>
    </row>
    <row r="21" spans="3:20" x14ac:dyDescent="0.15">
      <c r="C21" s="4">
        <f t="shared" si="2"/>
        <v>4</v>
      </c>
      <c r="D21" s="22">
        <f t="shared" si="4"/>
        <v>0.16637500000000005</v>
      </c>
      <c r="E21" s="22">
        <f t="shared" si="5"/>
        <v>0.12775</v>
      </c>
      <c r="F21" s="22">
        <f t="shared" si="6"/>
        <v>0</v>
      </c>
      <c r="G21" s="22">
        <f t="shared" si="7"/>
        <v>0</v>
      </c>
      <c r="H21" s="22">
        <f t="shared" si="8"/>
        <v>0.70587500000000003</v>
      </c>
      <c r="I21" s="23" cm="1">
        <f t="array" ref="I21">SUMPRODUCT(D21:H21*$K$13:$O$13)</f>
        <v>13737.750000000004</v>
      </c>
      <c r="J21" s="23">
        <f t="shared" si="9"/>
        <v>10321.37490608565</v>
      </c>
      <c r="K21" s="23">
        <f t="shared" si="3"/>
        <v>118168.48234410219</v>
      </c>
      <c r="L21" s="25"/>
      <c r="M21" s="30" t="s">
        <v>115</v>
      </c>
      <c r="N21" s="6" t="s">
        <v>30</v>
      </c>
      <c r="O21" s="6" t="s">
        <v>31</v>
      </c>
      <c r="P21" s="7" t="s">
        <v>32</v>
      </c>
      <c r="Q21" s="30" t="s">
        <v>116</v>
      </c>
      <c r="R21" s="6" t="s">
        <v>117</v>
      </c>
      <c r="S21" s="6" t="s">
        <v>118</v>
      </c>
      <c r="T21" s="7" t="s">
        <v>119</v>
      </c>
    </row>
    <row r="22" spans="3:20" ht="14" x14ac:dyDescent="0.15">
      <c r="C22" s="91">
        <f t="shared" si="2"/>
        <v>5</v>
      </c>
      <c r="D22" s="92">
        <f t="shared" si="4"/>
        <v>9.1506250000000039E-2</v>
      </c>
      <c r="E22" s="92">
        <f t="shared" si="5"/>
        <v>0.11244999999999999</v>
      </c>
      <c r="F22" s="92">
        <f t="shared" si="6"/>
        <v>0</v>
      </c>
      <c r="G22" s="92">
        <f t="shared" si="7"/>
        <v>0</v>
      </c>
      <c r="H22" s="92">
        <f t="shared" si="8"/>
        <v>0.79604375000000005</v>
      </c>
      <c r="I22" s="93" cm="1">
        <f t="array" ref="I22">SUMPRODUCT(D22:H22*$K$13:$O$13)</f>
        <v>8905.7625000000007</v>
      </c>
      <c r="J22" s="93">
        <f t="shared" si="9"/>
        <v>6082.7556177856695</v>
      </c>
      <c r="K22" s="93">
        <f t="shared" si="3"/>
        <v>124251.23796188786</v>
      </c>
      <c r="M22" s="11" t="s">
        <v>6</v>
      </c>
      <c r="N22" s="34">
        <v>134285.71428044699</v>
      </c>
      <c r="O22" s="4">
        <f>500</f>
        <v>500</v>
      </c>
      <c r="P22" s="35">
        <v>124251.23796188799</v>
      </c>
      <c r="Q22" s="11" t="s">
        <v>6</v>
      </c>
      <c r="R22" s="34">
        <v>122077.92207089944</v>
      </c>
      <c r="S22" s="4">
        <v>500</v>
      </c>
      <c r="T22" s="35">
        <v>107425.89304009287</v>
      </c>
    </row>
    <row r="23" spans="3:20" ht="14" x14ac:dyDescent="0.15">
      <c r="C23" s="4">
        <f t="shared" si="2"/>
        <v>6</v>
      </c>
      <c r="D23" s="22">
        <f t="shared" si="4"/>
        <v>5.0328437500000024E-2</v>
      </c>
      <c r="E23" s="22">
        <f t="shared" si="5"/>
        <v>9.3488125000000005E-2</v>
      </c>
      <c r="F23" s="22">
        <f t="shared" si="6"/>
        <v>0</v>
      </c>
      <c r="G23" s="22">
        <f t="shared" si="7"/>
        <v>0</v>
      </c>
      <c r="H23" s="22">
        <f t="shared" si="8"/>
        <v>0.85618343750000003</v>
      </c>
      <c r="I23" s="23" cm="1">
        <f t="array" ref="I23">SUMPRODUCT(D23:H23*$K$13:$O$13)</f>
        <v>5910.6693750000013</v>
      </c>
      <c r="J23" s="23">
        <f t="shared" si="9"/>
        <v>3670.0606484902291</v>
      </c>
      <c r="K23" s="23">
        <f t="shared" si="3"/>
        <v>127921.29861037809</v>
      </c>
      <c r="M23" s="11" t="s">
        <v>8</v>
      </c>
      <c r="N23" s="34">
        <v>100571.42856089464</v>
      </c>
      <c r="O23" s="53">
        <f>2000+'Q4&amp;Q5'!G15</f>
        <v>2026.6666666666667</v>
      </c>
      <c r="P23" s="35">
        <v>85752.475923775681</v>
      </c>
      <c r="Q23" s="11" t="s">
        <v>8</v>
      </c>
      <c r="R23" s="34">
        <v>91428.571414526232</v>
      </c>
      <c r="S23" s="53">
        <f>2000+'Q4&amp;Q5'!H15</f>
        <v>2022.5</v>
      </c>
      <c r="T23" s="35">
        <v>71669.967898367599</v>
      </c>
    </row>
    <row r="24" spans="3:20" ht="14" x14ac:dyDescent="0.15">
      <c r="C24" s="4">
        <f t="shared" si="2"/>
        <v>7</v>
      </c>
      <c r="D24" s="22">
        <f t="shared" si="4"/>
        <v>2.7680640625000016E-2</v>
      </c>
      <c r="E24" s="22">
        <f t="shared" si="5"/>
        <v>7.5148937499999999E-2</v>
      </c>
      <c r="F24" s="22">
        <f t="shared" si="6"/>
        <v>0</v>
      </c>
      <c r="G24" s="22">
        <f t="shared" si="7"/>
        <v>0</v>
      </c>
      <c r="H24" s="22">
        <f t="shared" si="8"/>
        <v>0.89717042187500007</v>
      </c>
      <c r="I24" s="23" cm="1">
        <f t="array" ref="I24">SUMPRODUCT(D24:H24*$K$13:$O$13)</f>
        <v>4010.243156250001</v>
      </c>
      <c r="J24" s="23">
        <f t="shared" si="9"/>
        <v>2263.6777148797019</v>
      </c>
      <c r="K24" s="23">
        <f t="shared" si="3"/>
        <v>130184.97632525778</v>
      </c>
      <c r="M24" s="11" t="s">
        <v>11</v>
      </c>
      <c r="N24" s="34">
        <v>20328.846153841412</v>
      </c>
      <c r="O24" s="53">
        <f>5000+'Q4&amp;Q5'!G20</f>
        <v>5100</v>
      </c>
      <c r="P24" s="35">
        <v>19319.611950003415</v>
      </c>
      <c r="Q24" s="11" t="s">
        <v>11</v>
      </c>
      <c r="R24" s="34">
        <v>18480.769230762457</v>
      </c>
      <c r="S24" s="55">
        <f>5000+'Q4&amp;Q5'!H20</f>
        <v>5200</v>
      </c>
      <c r="T24" s="35">
        <v>16828.360904309811</v>
      </c>
    </row>
    <row r="25" spans="3:20" ht="14" x14ac:dyDescent="0.15">
      <c r="C25" s="4">
        <f t="shared" si="2"/>
        <v>8</v>
      </c>
      <c r="D25" s="22">
        <f t="shared" si="4"/>
        <v>1.5224352343750011E-2</v>
      </c>
      <c r="E25" s="22">
        <f t="shared" si="5"/>
        <v>5.9129767187499994E-2</v>
      </c>
      <c r="F25" s="22">
        <f t="shared" si="6"/>
        <v>0</v>
      </c>
      <c r="G25" s="22">
        <f t="shared" si="7"/>
        <v>0</v>
      </c>
      <c r="H25" s="22">
        <f t="shared" si="8"/>
        <v>0.92564588046875007</v>
      </c>
      <c r="I25" s="23" cm="1">
        <f t="array" ref="I25">SUMPRODUCT(D25:H25*$K$13:$O$13)</f>
        <v>2775.1649859375002</v>
      </c>
      <c r="J25" s="23">
        <f t="shared" si="9"/>
        <v>1424.0984419634326</v>
      </c>
      <c r="K25" s="23">
        <f t="shared" si="3"/>
        <v>131609.0747672212</v>
      </c>
      <c r="M25" s="11" t="s">
        <v>13</v>
      </c>
      <c r="N25" s="34">
        <v>17049.999999971551</v>
      </c>
      <c r="O25" s="53">
        <f>7500+'Q4&amp;Q5'!G25</f>
        <v>7700</v>
      </c>
      <c r="P25" s="35">
        <v>15270.691892630281</v>
      </c>
      <c r="Q25" s="11" t="s">
        <v>13</v>
      </c>
      <c r="R25" s="34">
        <v>15499.99999995936</v>
      </c>
      <c r="S25" s="53">
        <f>7000+'Q4&amp;Q5'!H25</f>
        <v>7183.333333333333</v>
      </c>
      <c r="T25" s="35">
        <v>12958.131275186117</v>
      </c>
    </row>
    <row r="26" spans="3:20" ht="15" x14ac:dyDescent="0.2">
      <c r="C26" s="4">
        <f t="shared" si="2"/>
        <v>9</v>
      </c>
      <c r="D26" s="22">
        <f t="shared" si="4"/>
        <v>8.3733937890625061E-3</v>
      </c>
      <c r="E26" s="22">
        <f t="shared" si="5"/>
        <v>4.5869760624999999E-2</v>
      </c>
      <c r="F26" s="22">
        <f t="shared" si="6"/>
        <v>0</v>
      </c>
      <c r="G26" s="22">
        <f t="shared" si="7"/>
        <v>0</v>
      </c>
      <c r="H26" s="22">
        <f t="shared" si="8"/>
        <v>0.94575684558593753</v>
      </c>
      <c r="I26" s="23" cm="1">
        <f t="array" ref="I26">SUMPRODUCT(D26:H26*$K$13:$O$13)</f>
        <v>1953.4891797656253</v>
      </c>
      <c r="J26" s="23">
        <f t="shared" si="9"/>
        <v>911.3171195205224</v>
      </c>
      <c r="K26" s="23">
        <f t="shared" si="3"/>
        <v>132520.39188674174</v>
      </c>
      <c r="M26" s="33" t="s">
        <v>34</v>
      </c>
      <c r="N26" s="31">
        <f>(N22*O22+N23*O23+N24*O24+N25*O25)/(SUM(O22:O26))</f>
        <v>33009.769535102794</v>
      </c>
      <c r="P26" s="26"/>
      <c r="Q26" s="33" t="s">
        <v>34</v>
      </c>
      <c r="R26" s="31">
        <f>(R22*S22+R23*S23+R24*S24+R25*S25)/(SUM(S22:S26))</f>
        <v>30417.280486677602</v>
      </c>
      <c r="T26" s="26"/>
    </row>
    <row r="27" spans="3:20" ht="14" thickBot="1" x14ac:dyDescent="0.2">
      <c r="C27" s="4">
        <f t="shared" si="2"/>
        <v>10</v>
      </c>
      <c r="D27" s="22">
        <f t="shared" si="4"/>
        <v>4.6053665839843787E-3</v>
      </c>
      <c r="E27" s="22">
        <f t="shared" si="5"/>
        <v>3.523965984765625E-2</v>
      </c>
      <c r="F27" s="22">
        <f t="shared" si="6"/>
        <v>0</v>
      </c>
      <c r="G27" s="22">
        <f t="shared" si="7"/>
        <v>0</v>
      </c>
      <c r="H27" s="22">
        <f t="shared" si="8"/>
        <v>0.96015497356835944</v>
      </c>
      <c r="I27" s="23" cm="1">
        <f t="array" ref="I27">SUMPRODUCT(D27:H27*$K$13:$O$13)</f>
        <v>1394.780376996094</v>
      </c>
      <c r="J27" s="23">
        <f t="shared" si="9"/>
        <v>591.52303603671976</v>
      </c>
      <c r="K27" s="23">
        <f t="shared" si="3"/>
        <v>133111.91492277847</v>
      </c>
      <c r="L27" s="25"/>
      <c r="M27" s="32" t="s">
        <v>36</v>
      </c>
      <c r="N27" s="37">
        <f>(N22*O22+N23*O23+N24*O24+N25*O25)</f>
        <v>505929734.40800881</v>
      </c>
      <c r="O27" s="27"/>
      <c r="P27" s="67">
        <f>SUMPRODUCT(O22:O25,P22:P25)</f>
        <v>452031652.03806663</v>
      </c>
      <c r="Q27" s="32" t="s">
        <v>36</v>
      </c>
      <c r="R27" s="37">
        <f>(R22*S22+R23*S23+R24*S24+R25*S25)</f>
        <v>453394913.38766855</v>
      </c>
      <c r="S27" s="27"/>
      <c r="T27" s="67">
        <f>SUMPRODUCT(S22:S25,T22:T25)</f>
        <v>379255509.62365955</v>
      </c>
    </row>
    <row r="28" spans="3:20" x14ac:dyDescent="0.15">
      <c r="C28" s="4">
        <f t="shared" si="2"/>
        <v>11</v>
      </c>
      <c r="D28" s="22">
        <f t="shared" si="4"/>
        <v>2.5329516211914085E-3</v>
      </c>
      <c r="E28" s="22">
        <f t="shared" si="5"/>
        <v>2.6890281544140623E-2</v>
      </c>
      <c r="F28" s="22">
        <f t="shared" si="6"/>
        <v>0</v>
      </c>
      <c r="G28" s="22">
        <f t="shared" si="7"/>
        <v>0</v>
      </c>
      <c r="H28" s="22">
        <f t="shared" si="8"/>
        <v>0.97057676683466798</v>
      </c>
      <c r="I28" s="23" cm="1">
        <f t="array" ref="I28">SUMPRODUCT(D28:H28*$K$13:$O$13)</f>
        <v>1007.4002034416017</v>
      </c>
      <c r="J28" s="23">
        <f t="shared" si="9"/>
        <v>388.39638820685434</v>
      </c>
      <c r="K28" s="23">
        <f t="shared" si="3"/>
        <v>133500.31131098533</v>
      </c>
      <c r="M28" s="9"/>
      <c r="N28" s="22"/>
    </row>
    <row r="29" spans="3:20" x14ac:dyDescent="0.15">
      <c r="C29" s="4">
        <f t="shared" si="2"/>
        <v>12</v>
      </c>
      <c r="D29" s="22">
        <f t="shared" si="4"/>
        <v>1.3931233916552749E-3</v>
      </c>
      <c r="E29" s="22">
        <f t="shared" si="5"/>
        <v>2.0421006320224609E-2</v>
      </c>
      <c r="F29" s="22">
        <f t="shared" si="6"/>
        <v>0</v>
      </c>
      <c r="G29" s="22">
        <f t="shared" si="7"/>
        <v>0</v>
      </c>
      <c r="H29" s="22">
        <f t="shared" si="8"/>
        <v>0.9781858702881201</v>
      </c>
      <c r="I29" s="23" cm="1">
        <f t="array" ref="I29">SUMPRODUCT(D29:H29*$K$13:$O$13)</f>
        <v>734.27335896319346</v>
      </c>
      <c r="J29" s="23">
        <f t="shared" si="9"/>
        <v>257.35833286830973</v>
      </c>
      <c r="K29" s="23">
        <f t="shared" si="3"/>
        <v>133757.66964385365</v>
      </c>
      <c r="L29" s="25"/>
      <c r="M29" s="36"/>
      <c r="N29" s="59"/>
    </row>
    <row r="30" spans="3:20" ht="13.5" customHeight="1" x14ac:dyDescent="0.15">
      <c r="C30" s="4">
        <f t="shared" si="2"/>
        <v>13</v>
      </c>
      <c r="D30" s="22">
        <f t="shared" si="4"/>
        <v>7.6621786541040124E-4</v>
      </c>
      <c r="E30" s="22">
        <f t="shared" si="5"/>
        <v>1.5455067079333985E-2</v>
      </c>
      <c r="F30" s="22">
        <f t="shared" si="6"/>
        <v>0</v>
      </c>
      <c r="G30" s="22">
        <f t="shared" si="7"/>
        <v>0</v>
      </c>
      <c r="H30" s="22">
        <f t="shared" si="8"/>
        <v>0.9837787150552556</v>
      </c>
      <c r="I30" s="23" cm="1">
        <f t="array" ref="I30">SUMPRODUCT(D30:H30*$K$13:$O$13)</f>
        <v>539.0027827324908</v>
      </c>
      <c r="J30" s="23">
        <f t="shared" si="9"/>
        <v>171.74289741021119</v>
      </c>
      <c r="K30" s="23">
        <f t="shared" si="3"/>
        <v>133929.41254126385</v>
      </c>
      <c r="M30" s="57"/>
      <c r="N30" s="57"/>
      <c r="O30" s="57"/>
      <c r="P30" s="57"/>
      <c r="Q30" s="57"/>
    </row>
    <row r="31" spans="3:20" ht="15" x14ac:dyDescent="0.2">
      <c r="C31" s="4">
        <f t="shared" si="2"/>
        <v>14</v>
      </c>
      <c r="D31" s="22">
        <f t="shared" si="4"/>
        <v>4.2141982597572073E-4</v>
      </c>
      <c r="E31" s="22">
        <f t="shared" si="5"/>
        <v>1.1667922096041528E-2</v>
      </c>
      <c r="F31" s="22">
        <f t="shared" si="6"/>
        <v>0</v>
      </c>
      <c r="G31" s="22">
        <f t="shared" si="7"/>
        <v>0</v>
      </c>
      <c r="H31" s="22">
        <f t="shared" si="8"/>
        <v>0.98791065807798273</v>
      </c>
      <c r="I31" s="23" cm="1">
        <f t="array" ref="I31">SUMPRODUCT(D31:H31*$K$13:$O$13)</f>
        <v>397.81585697992068</v>
      </c>
      <c r="J31" s="23">
        <f t="shared" si="9"/>
        <v>115.23308346150762</v>
      </c>
      <c r="K31" s="23">
        <f t="shared" si="3"/>
        <v>134044.64562472535</v>
      </c>
      <c r="L31" s="25"/>
      <c r="M31" s="58"/>
      <c r="N31" s="58"/>
      <c r="O31" s="58"/>
      <c r="P31" s="58"/>
      <c r="Q31" s="58"/>
    </row>
    <row r="32" spans="3:20" x14ac:dyDescent="0.15">
      <c r="C32" s="4">
        <f t="shared" si="2"/>
        <v>15</v>
      </c>
      <c r="D32" s="22">
        <f t="shared" si="4"/>
        <v>2.3178090428664641E-4</v>
      </c>
      <c r="E32" s="22">
        <f t="shared" si="5"/>
        <v>8.7930835546287181E-3</v>
      </c>
      <c r="F32" s="22">
        <f t="shared" si="6"/>
        <v>0</v>
      </c>
      <c r="G32" s="22">
        <f t="shared" si="7"/>
        <v>0</v>
      </c>
      <c r="H32" s="22">
        <f t="shared" si="8"/>
        <v>0.99097513554108463</v>
      </c>
      <c r="I32" s="23" cm="1">
        <f t="array" ref="I32">SUMPRODUCT(D32:H32*$K$13:$O$13)</f>
        <v>294.82196619674443</v>
      </c>
      <c r="J32" s="23">
        <f t="shared" si="9"/>
        <v>77.635838155573353</v>
      </c>
      <c r="K32" s="23">
        <f t="shared" si="3"/>
        <v>134122.28146288093</v>
      </c>
    </row>
    <row r="33" spans="3:18" x14ac:dyDescent="0.15">
      <c r="C33" s="4">
        <f t="shared" si="2"/>
        <v>16</v>
      </c>
      <c r="D33" s="22">
        <f t="shared" si="4"/>
        <v>1.2747949735765552E-4</v>
      </c>
      <c r="E33" s="22">
        <f t="shared" si="5"/>
        <v>6.6179907564002036E-3</v>
      </c>
      <c r="F33" s="22">
        <f t="shared" si="6"/>
        <v>0</v>
      </c>
      <c r="G33" s="22">
        <f t="shared" si="7"/>
        <v>0</v>
      </c>
      <c r="H33" s="22">
        <f t="shared" si="8"/>
        <v>0.99325452974624218</v>
      </c>
      <c r="I33" s="23" cm="1">
        <f t="array" ref="I33">SUMPRODUCT(D33:H33*$K$13:$O$13)</f>
        <v>219.16951505155055</v>
      </c>
      <c r="J33" s="23">
        <f t="shared" si="9"/>
        <v>52.467439367436391</v>
      </c>
      <c r="K33" s="23">
        <f t="shared" si="3"/>
        <v>134174.74890224836</v>
      </c>
      <c r="M33" s="9"/>
    </row>
    <row r="34" spans="3:18" ht="15" customHeight="1" x14ac:dyDescent="0.15">
      <c r="C34" s="4">
        <f t="shared" si="2"/>
        <v>17</v>
      </c>
      <c r="D34" s="22">
        <f t="shared" si="4"/>
        <v>7.011372354671054E-5</v>
      </c>
      <c r="E34" s="22">
        <f t="shared" si="5"/>
        <v>4.976241017035918E-3</v>
      </c>
      <c r="F34" s="22">
        <f t="shared" si="6"/>
        <v>0</v>
      </c>
      <c r="G34" s="22">
        <f t="shared" si="7"/>
        <v>0</v>
      </c>
      <c r="H34" s="22">
        <f t="shared" si="8"/>
        <v>0.99495364525941743</v>
      </c>
      <c r="I34" s="23" cm="1">
        <f t="array" ref="I34">SUMPRODUCT(D34:H34*$K$13:$O$13)</f>
        <v>163.3063085108586</v>
      </c>
      <c r="J34" s="23">
        <f t="shared" si="9"/>
        <v>35.540210790297536</v>
      </c>
      <c r="K34" s="23">
        <f t="shared" si="3"/>
        <v>134210.28911303866</v>
      </c>
      <c r="L34" s="28"/>
      <c r="M34" s="57"/>
      <c r="N34" s="57"/>
      <c r="O34" s="57"/>
      <c r="P34" s="57"/>
      <c r="Q34" s="57"/>
      <c r="R34" s="57"/>
    </row>
    <row r="35" spans="3:18" x14ac:dyDescent="0.15">
      <c r="C35" s="4">
        <f t="shared" si="2"/>
        <v>18</v>
      </c>
      <c r="D35" s="22">
        <f t="shared" si="4"/>
        <v>3.8562547950690797E-5</v>
      </c>
      <c r="E35" s="22">
        <f t="shared" si="5"/>
        <v>3.7391921351316096E-3</v>
      </c>
      <c r="F35" s="22">
        <f t="shared" si="6"/>
        <v>0</v>
      </c>
      <c r="G35" s="22">
        <f t="shared" si="7"/>
        <v>0</v>
      </c>
      <c r="H35" s="22">
        <f t="shared" si="8"/>
        <v>0.99622224531691772</v>
      </c>
      <c r="I35" s="23" cm="1">
        <f t="array" ref="I35">SUMPRODUCT(D35:H35*$K$13:$O$13)</f>
        <v>121.89077610535158</v>
      </c>
      <c r="J35" s="23">
        <f t="shared" si="9"/>
        <v>24.115440240543773</v>
      </c>
      <c r="K35" s="23">
        <f t="shared" si="3"/>
        <v>134234.40455327919</v>
      </c>
      <c r="L35" s="25"/>
      <c r="M35" s="3"/>
    </row>
    <row r="36" spans="3:18" x14ac:dyDescent="0.15">
      <c r="C36" s="4">
        <f t="shared" si="2"/>
        <v>19</v>
      </c>
      <c r="D36" s="22">
        <f t="shared" si="4"/>
        <v>2.1209401372879939E-5</v>
      </c>
      <c r="E36" s="22">
        <f t="shared" si="5"/>
        <v>2.8082503561437763E-3</v>
      </c>
      <c r="F36" s="22">
        <f t="shared" si="6"/>
        <v>0</v>
      </c>
      <c r="G36" s="22">
        <f t="shared" si="7"/>
        <v>0</v>
      </c>
      <c r="H36" s="22">
        <f t="shared" si="8"/>
        <v>0.99717054024248342</v>
      </c>
      <c r="I36" s="23" cm="1">
        <f t="array" ref="I36">SUMPRODUCT(D36:H36*$K$13:$O$13)</f>
        <v>91.094156676227882</v>
      </c>
      <c r="J36" s="23">
        <f t="shared" si="9"/>
        <v>16.384084787586662</v>
      </c>
      <c r="K36" s="23">
        <f t="shared" si="3"/>
        <v>134250.78863806679</v>
      </c>
      <c r="M36" s="9"/>
      <c r="O36" s="77"/>
    </row>
    <row r="37" spans="3:18" x14ac:dyDescent="0.15">
      <c r="C37" s="4">
        <f t="shared" si="2"/>
        <v>20</v>
      </c>
      <c r="D37" s="22">
        <f t="shared" si="4"/>
        <v>1.1665170755083968E-5</v>
      </c>
      <c r="E37" s="22">
        <f t="shared" si="5"/>
        <v>2.1083087072451203E-3</v>
      </c>
      <c r="F37" s="22">
        <f t="shared" si="6"/>
        <v>0</v>
      </c>
      <c r="G37" s="22">
        <f t="shared" si="7"/>
        <v>0</v>
      </c>
      <c r="H37" s="22">
        <f t="shared" si="8"/>
        <v>0.99788002612199989</v>
      </c>
      <c r="I37" s="23" cm="1">
        <f t="array" ref="I37">SUMPRODUCT(D37:H37*$K$13:$O$13)</f>
        <v>68.142458535638724</v>
      </c>
      <c r="J37" s="23">
        <f t="shared" si="9"/>
        <v>11.141836485144314</v>
      </c>
      <c r="K37" s="23">
        <f t="shared" si="3"/>
        <v>134261.93047455195</v>
      </c>
      <c r="M37" s="9"/>
      <c r="O37" s="77"/>
    </row>
    <row r="38" spans="3:18" x14ac:dyDescent="0.15">
      <c r="C38" s="4">
        <f t="shared" si="2"/>
        <v>21</v>
      </c>
      <c r="D38" s="22">
        <f t="shared" si="4"/>
        <v>6.4158439152961826E-6</v>
      </c>
      <c r="E38" s="22">
        <f t="shared" si="5"/>
        <v>1.5823980475093487E-3</v>
      </c>
      <c r="F38" s="22">
        <f t="shared" si="6"/>
        <v>0</v>
      </c>
      <c r="G38" s="22">
        <f t="shared" si="7"/>
        <v>0</v>
      </c>
      <c r="H38" s="22">
        <f t="shared" si="8"/>
        <v>0.99841118610857549</v>
      </c>
      <c r="I38" s="23" cm="1">
        <f t="array" ref="I38">SUMPRODUCT(D38:H38*$K$13:$O$13)</f>
        <v>51.008856467386337</v>
      </c>
      <c r="J38" s="23">
        <f t="shared" si="9"/>
        <v>7.5821414866751002</v>
      </c>
      <c r="K38" s="23">
        <f t="shared" si="3"/>
        <v>134269.51261603861</v>
      </c>
      <c r="M38" s="9"/>
      <c r="O38" s="77"/>
    </row>
    <row r="39" spans="3:18" x14ac:dyDescent="0.15">
      <c r="C39" s="4">
        <f t="shared" si="2"/>
        <v>22</v>
      </c>
      <c r="D39" s="22">
        <f t="shared" si="4"/>
        <v>3.5287141534129008E-6</v>
      </c>
      <c r="E39" s="22">
        <f t="shared" si="5"/>
        <v>1.1874401200235411E-3</v>
      </c>
      <c r="F39" s="22">
        <f t="shared" si="6"/>
        <v>0</v>
      </c>
      <c r="G39" s="22">
        <f t="shared" si="7"/>
        <v>0</v>
      </c>
      <c r="H39" s="22">
        <f t="shared" si="8"/>
        <v>0.9988090311658232</v>
      </c>
      <c r="I39" s="23" cm="1">
        <f t="array" ref="I39">SUMPRODUCT(D39:H39*$K$13:$O$13)</f>
        <v>38.202749261651263</v>
      </c>
      <c r="J39" s="23">
        <f t="shared" si="9"/>
        <v>5.1623593188622836</v>
      </c>
      <c r="K39" s="23">
        <f t="shared" si="3"/>
        <v>134274.67497535748</v>
      </c>
      <c r="M39" s="9"/>
      <c r="O39" s="77"/>
    </row>
    <row r="40" spans="3:18" x14ac:dyDescent="0.15">
      <c r="C40" s="4">
        <f t="shared" si="2"/>
        <v>23</v>
      </c>
      <c r="D40" s="22">
        <f t="shared" si="4"/>
        <v>1.9407927843770955E-6</v>
      </c>
      <c r="E40" s="22">
        <f t="shared" si="5"/>
        <v>8.9093296143299711E-4</v>
      </c>
      <c r="F40" s="22">
        <f t="shared" si="6"/>
        <v>0</v>
      </c>
      <c r="G40" s="22">
        <f t="shared" si="7"/>
        <v>0</v>
      </c>
      <c r="H40" s="22">
        <f t="shared" si="8"/>
        <v>0.9991071262457828</v>
      </c>
      <c r="I40" s="23" cm="1">
        <f t="array" ref="I40">SUMPRODUCT(D40:H40*$K$13:$O$13)</f>
        <v>28.622420747349782</v>
      </c>
      <c r="J40" s="23">
        <f t="shared" si="9"/>
        <v>3.5161491427434601</v>
      </c>
      <c r="K40" s="23">
        <f t="shared" si="3"/>
        <v>134278.19112450024</v>
      </c>
    </row>
    <row r="41" spans="3:18" x14ac:dyDescent="0.15">
      <c r="C41" s="4">
        <f t="shared" si="2"/>
        <v>24</v>
      </c>
      <c r="D41" s="22">
        <f t="shared" si="4"/>
        <v>1.0674360314074026E-6</v>
      </c>
      <c r="E41" s="22">
        <f t="shared" si="5"/>
        <v>6.6839380035318551E-4</v>
      </c>
      <c r="F41" s="22">
        <f t="shared" si="6"/>
        <v>0</v>
      </c>
      <c r="G41" s="22">
        <f t="shared" si="7"/>
        <v>0</v>
      </c>
      <c r="H41" s="22">
        <f t="shared" si="8"/>
        <v>0.99933053876361555</v>
      </c>
      <c r="I41" s="23" cm="1">
        <f t="array" ref="I41">SUMPRODUCT(D41:H41*$K$13:$O$13)</f>
        <v>21.450512901123567</v>
      </c>
      <c r="J41" s="23">
        <f t="shared" si="9"/>
        <v>2.3955537645392195</v>
      </c>
      <c r="K41" s="23">
        <f t="shared" si="3"/>
        <v>134280.58667826478</v>
      </c>
    </row>
    <row r="42" spans="3:18" x14ac:dyDescent="0.15">
      <c r="C42" s="4">
        <f t="shared" si="2"/>
        <v>25</v>
      </c>
      <c r="D42" s="22">
        <f t="shared" si="4"/>
        <v>5.8708981727407146E-7</v>
      </c>
      <c r="E42" s="22">
        <f t="shared" si="5"/>
        <v>5.0140209386802985E-4</v>
      </c>
      <c r="F42" s="22">
        <f t="shared" si="6"/>
        <v>0</v>
      </c>
      <c r="G42" s="22">
        <f t="shared" si="7"/>
        <v>0</v>
      </c>
      <c r="H42" s="22">
        <f t="shared" si="8"/>
        <v>0.99949801081631484</v>
      </c>
      <c r="I42" s="23" cm="1">
        <f t="array" ref="I42">SUMPRODUCT(D42:H42*$K$13:$O$13)</f>
        <v>16.078918213178849</v>
      </c>
      <c r="J42" s="23">
        <f t="shared" si="9"/>
        <v>1.632421786701989</v>
      </c>
      <c r="K42" s="23">
        <f t="shared" si="3"/>
        <v>134282.21910005147</v>
      </c>
    </row>
    <row r="43" spans="3:18" ht="10.5" customHeight="1" x14ac:dyDescent="0.15">
      <c r="C43" s="4">
        <f t="shared" si="2"/>
        <v>26</v>
      </c>
      <c r="D43" s="22">
        <f t="shared" si="4"/>
        <v>3.2289939950073931E-7</v>
      </c>
      <c r="E43" s="22">
        <f t="shared" si="5"/>
        <v>3.7611027938274982E-4</v>
      </c>
      <c r="F43" s="22">
        <f t="shared" si="6"/>
        <v>0</v>
      </c>
      <c r="G43" s="22">
        <f t="shared" si="7"/>
        <v>0</v>
      </c>
      <c r="H43" s="22">
        <f t="shared" si="8"/>
        <v>0.99962356682121789</v>
      </c>
      <c r="I43" s="23" cm="1">
        <f t="array" ref="I43">SUMPRODUCT(D43:H43*$K$13:$O$13)</f>
        <v>12.054257105419037</v>
      </c>
      <c r="J43" s="23">
        <f t="shared" si="9"/>
        <v>1.1125596918276168</v>
      </c>
      <c r="K43" s="23">
        <f t="shared" si="3"/>
        <v>134283.3316597433</v>
      </c>
      <c r="M43" s="56"/>
      <c r="N43" s="56"/>
      <c r="O43" s="56"/>
      <c r="P43" s="56"/>
      <c r="Q43" s="56"/>
    </row>
    <row r="44" spans="3:18" x14ac:dyDescent="0.15">
      <c r="C44" s="4">
        <f t="shared" si="2"/>
        <v>27</v>
      </c>
      <c r="D44" s="22">
        <f t="shared" si="4"/>
        <v>1.7759466972540663E-7</v>
      </c>
      <c r="E44" s="22">
        <f t="shared" si="5"/>
        <v>2.8211499947701241E-4</v>
      </c>
      <c r="F44" s="22">
        <f t="shared" si="6"/>
        <v>0</v>
      </c>
      <c r="G44" s="22">
        <f t="shared" si="7"/>
        <v>0</v>
      </c>
      <c r="H44" s="22">
        <f t="shared" si="8"/>
        <v>0.99971770740585342</v>
      </c>
      <c r="I44" s="23" cm="1">
        <f t="array" ref="I44">SUMPRODUCT(D44:H44*$K$13:$O$13)</f>
        <v>9.0379804741084708</v>
      </c>
      <c r="J44" s="23">
        <f t="shared" si="9"/>
        <v>0.75833584487514172</v>
      </c>
      <c r="K44" s="23">
        <f t="shared" si="3"/>
        <v>134284.08999558818</v>
      </c>
    </row>
    <row r="45" spans="3:18" x14ac:dyDescent="0.15">
      <c r="C45" s="4">
        <f t="shared" si="2"/>
        <v>28</v>
      </c>
      <c r="D45" s="22">
        <f t="shared" si="4"/>
        <v>9.7677068348973647E-8</v>
      </c>
      <c r="E45" s="22">
        <f t="shared" si="5"/>
        <v>2.1160400907473185E-4</v>
      </c>
      <c r="F45" s="22">
        <f t="shared" si="6"/>
        <v>0</v>
      </c>
      <c r="G45" s="22">
        <f t="shared" si="7"/>
        <v>0</v>
      </c>
      <c r="H45" s="22">
        <f t="shared" si="8"/>
        <v>0.99978829831385707</v>
      </c>
      <c r="I45" s="23" cm="1">
        <f t="array" ref="I45">SUMPRODUCT(D45:H45*$K$13:$O$13)</f>
        <v>6.7769935603556597</v>
      </c>
      <c r="J45" s="23">
        <f t="shared" si="9"/>
        <v>0.51693337627484348</v>
      </c>
      <c r="K45" s="23">
        <f t="shared" si="3"/>
        <v>134284.60692896444</v>
      </c>
    </row>
    <row r="46" spans="3:18" x14ac:dyDescent="0.15">
      <c r="C46" s="4">
        <f t="shared" si="2"/>
        <v>29</v>
      </c>
      <c r="D46" s="22">
        <f t="shared" si="4"/>
        <v>5.3722387591935513E-8</v>
      </c>
      <c r="E46" s="22">
        <f t="shared" si="5"/>
        <v>1.5871277451288379E-4</v>
      </c>
      <c r="F46" s="22">
        <f t="shared" si="6"/>
        <v>0</v>
      </c>
      <c r="G46" s="22">
        <f t="shared" si="7"/>
        <v>0</v>
      </c>
      <c r="H46" s="22">
        <f t="shared" si="8"/>
        <v>0.99984123350309972</v>
      </c>
      <c r="I46" s="23" cm="1">
        <f t="array" ref="I46">SUMPRODUCT(D46:H46*$K$13:$O$13)</f>
        <v>5.0819246828926135</v>
      </c>
      <c r="J46" s="23">
        <f t="shared" si="9"/>
        <v>0.35239767939010774</v>
      </c>
      <c r="K46" s="23">
        <f t="shared" si="3"/>
        <v>134284.95932664382</v>
      </c>
    </row>
    <row r="47" spans="3:18" x14ac:dyDescent="0.15">
      <c r="C47" s="4">
        <f t="shared" si="2"/>
        <v>30</v>
      </c>
      <c r="D47" s="22">
        <f t="shared" si="4"/>
        <v>2.9547313175564536E-8</v>
      </c>
      <c r="E47" s="22">
        <f t="shared" si="5"/>
        <v>1.1903995312342203E-4</v>
      </c>
      <c r="F47" s="22">
        <f t="shared" si="6"/>
        <v>0</v>
      </c>
      <c r="G47" s="22">
        <f t="shared" si="7"/>
        <v>0</v>
      </c>
      <c r="H47" s="22">
        <f t="shared" si="8"/>
        <v>0.99988093049956361</v>
      </c>
      <c r="I47" s="23" cm="1">
        <f t="array" ref="I47">SUMPRODUCT(D47:H47*$K$13:$O$13)</f>
        <v>3.8109922441136881</v>
      </c>
      <c r="J47" s="23">
        <f t="shared" si="9"/>
        <v>0.24024269736733975</v>
      </c>
      <c r="K47" s="23">
        <f t="shared" si="3"/>
        <v>134285.19956934117</v>
      </c>
    </row>
    <row r="48" spans="3:18" x14ac:dyDescent="0.15">
      <c r="C48" s="4">
        <f t="shared" si="2"/>
        <v>31</v>
      </c>
      <c r="D48" s="22">
        <f t="shared" si="4"/>
        <v>1.6251022246560496E-8</v>
      </c>
      <c r="E48" s="22">
        <f t="shared" si="5"/>
        <v>8.9282919573884084E-5</v>
      </c>
      <c r="F48" s="22">
        <f t="shared" si="6"/>
        <v>0</v>
      </c>
      <c r="G48" s="22">
        <f t="shared" si="7"/>
        <v>0</v>
      </c>
      <c r="H48" s="22">
        <f t="shared" si="8"/>
        <v>0.99991070082940403</v>
      </c>
      <c r="I48" s="23" cm="1">
        <f t="array" ref="I48">SUMPRODUCT(D48:H48*$K$13:$O$13)</f>
        <v>2.8579959856545911</v>
      </c>
      <c r="J48" s="23">
        <f t="shared" si="9"/>
        <v>0.16378761527841021</v>
      </c>
      <c r="K48" s="23">
        <f t="shared" si="3"/>
        <v>134285.36335695646</v>
      </c>
    </row>
    <row r="49" spans="3:11" x14ac:dyDescent="0.15">
      <c r="C49" s="4">
        <f t="shared" si="2"/>
        <v>32</v>
      </c>
      <c r="D49" s="22">
        <f t="shared" si="4"/>
        <v>8.9380622356082728E-9</v>
      </c>
      <c r="E49" s="22">
        <f t="shared" si="5"/>
        <v>6.696381478263771E-5</v>
      </c>
      <c r="F49" s="22">
        <f t="shared" si="6"/>
        <v>0</v>
      </c>
      <c r="G49" s="22">
        <f t="shared" si="7"/>
        <v>0</v>
      </c>
      <c r="H49" s="22">
        <f t="shared" si="8"/>
        <v>0.99993302724715527</v>
      </c>
      <c r="I49" s="23" cm="1">
        <f t="array" ref="I49">SUMPRODUCT(D49:H49*$K$13:$O$13)</f>
        <v>2.143360480654072</v>
      </c>
      <c r="J49" s="23">
        <f t="shared" si="9"/>
        <v>0.11166626213561898</v>
      </c>
      <c r="K49" s="23">
        <f t="shared" si="3"/>
        <v>134285.47502321861</v>
      </c>
    </row>
    <row r="50" spans="3:11" x14ac:dyDescent="0.15">
      <c r="C50" s="4">
        <f t="shared" si="2"/>
        <v>33</v>
      </c>
      <c r="D50" s="22">
        <f t="shared" si="4"/>
        <v>4.9159342295845502E-9</v>
      </c>
      <c r="E50" s="22">
        <f t="shared" si="5"/>
        <v>5.0223754893201846E-5</v>
      </c>
      <c r="F50" s="22">
        <f t="shared" si="6"/>
        <v>0</v>
      </c>
      <c r="G50" s="22">
        <f t="shared" si="7"/>
        <v>0</v>
      </c>
      <c r="H50" s="22">
        <f t="shared" si="8"/>
        <v>0.99994977132917273</v>
      </c>
      <c r="I50" s="23" cm="1">
        <f t="array" ref="I50">SUMPRODUCT(D50:H50*$K$13:$O$13)</f>
        <v>1.607445280767775</v>
      </c>
      <c r="J50" s="23">
        <f t="shared" si="9"/>
        <v>7.6132531860818947E-2</v>
      </c>
      <c r="K50" s="23">
        <f t="shared" si="3"/>
        <v>134285.55115575047</v>
      </c>
    </row>
    <row r="51" spans="3:11" x14ac:dyDescent="0.15">
      <c r="C51" s="4">
        <f t="shared" si="2"/>
        <v>34</v>
      </c>
      <c r="D51" s="22">
        <f t="shared" si="4"/>
        <v>2.7037638262715029E-9</v>
      </c>
      <c r="E51" s="22">
        <f t="shared" si="5"/>
        <v>3.7668307763324346E-5</v>
      </c>
      <c r="F51" s="22">
        <f t="shared" si="6"/>
        <v>0</v>
      </c>
      <c r="G51" s="22">
        <f t="shared" si="7"/>
        <v>0</v>
      </c>
      <c r="H51" s="22">
        <f t="shared" si="8"/>
        <v>0.99996232898847304</v>
      </c>
      <c r="I51" s="23" cm="1">
        <f t="array" ref="I51">SUMPRODUCT(D51:H51*$K$13:$O$13)</f>
        <v>1.2055426667283029</v>
      </c>
      <c r="J51" s="23">
        <f t="shared" si="9"/>
        <v>5.1906766471097751E-2</v>
      </c>
      <c r="K51" s="23">
        <f t="shared" si="3"/>
        <v>134285.60306251692</v>
      </c>
    </row>
    <row r="52" spans="3:11" x14ac:dyDescent="0.15">
      <c r="C52" s="4">
        <f t="shared" si="2"/>
        <v>35</v>
      </c>
      <c r="D52" s="22">
        <f t="shared" si="4"/>
        <v>1.4870701044493267E-9</v>
      </c>
      <c r="E52" s="22">
        <f t="shared" si="5"/>
        <v>2.8251501198875884E-5</v>
      </c>
      <c r="F52" s="22">
        <f t="shared" si="6"/>
        <v>0</v>
      </c>
      <c r="G52" s="22">
        <f t="shared" si="7"/>
        <v>0</v>
      </c>
      <c r="H52" s="22">
        <f t="shared" si="8"/>
        <v>0.99997174701173119</v>
      </c>
      <c r="I52" s="23" cm="1">
        <f t="array" ref="I52">SUMPRODUCT(D52:H52*$K$13:$O$13)</f>
        <v>0.90413428843008636</v>
      </c>
      <c r="J52" s="23">
        <f t="shared" si="9"/>
        <v>3.5390088149654504E-2</v>
      </c>
      <c r="K52" s="23">
        <f t="shared" si="3"/>
        <v>134285.63845260508</v>
      </c>
    </row>
    <row r="53" spans="3:11" x14ac:dyDescent="0.15">
      <c r="C53" s="4">
        <f t="shared" si="2"/>
        <v>36</v>
      </c>
      <c r="D53" s="22">
        <f t="shared" si="4"/>
        <v>8.1788855744712971E-10</v>
      </c>
      <c r="E53" s="22">
        <f t="shared" si="5"/>
        <v>2.1188774606167357E-5</v>
      </c>
      <c r="F53" s="22">
        <f t="shared" si="6"/>
        <v>0</v>
      </c>
      <c r="G53" s="22">
        <f t="shared" si="7"/>
        <v>0</v>
      </c>
      <c r="H53" s="22">
        <f t="shared" si="8"/>
        <v>0.99997881040750547</v>
      </c>
      <c r="I53" s="23" cm="1">
        <f t="array" ref="I53">SUMPRODUCT(D53:H53*$K$13:$O$13)</f>
        <v>0.67808822493368737</v>
      </c>
      <c r="J53" s="23">
        <f t="shared" si="9"/>
        <v>2.4129161061717454E-2</v>
      </c>
      <c r="K53" s="23">
        <f t="shared" si="3"/>
        <v>134285.66258176614</v>
      </c>
    </row>
    <row r="54" spans="3:11" x14ac:dyDescent="0.15">
      <c r="C54" s="4">
        <f t="shared" si="2"/>
        <v>37</v>
      </c>
      <c r="D54" s="22">
        <f t="shared" si="4"/>
        <v>4.4983870659592137E-10</v>
      </c>
      <c r="E54" s="22">
        <f t="shared" si="5"/>
        <v>1.5891662743481264E-5</v>
      </c>
      <c r="F54" s="22">
        <f t="shared" si="6"/>
        <v>0</v>
      </c>
      <c r="G54" s="22">
        <f t="shared" si="7"/>
        <v>0</v>
      </c>
      <c r="H54" s="22">
        <f t="shared" si="8"/>
        <v>0.99998410788741798</v>
      </c>
      <c r="I54" s="23" cm="1">
        <f t="array" ref="I54">SUMPRODUCT(D54:H54*$K$13:$O$13)</f>
        <v>0.50855929843638303</v>
      </c>
      <c r="J54" s="23">
        <f t="shared" si="9"/>
        <v>1.6451478476465688E-2</v>
      </c>
      <c r="K54" s="23">
        <f t="shared" si="3"/>
        <v>134285.67903324461</v>
      </c>
    </row>
    <row r="55" spans="3:11" x14ac:dyDescent="0.15">
      <c r="C55" s="4">
        <f t="shared" si="2"/>
        <v>38</v>
      </c>
      <c r="D55" s="22">
        <f t="shared" si="4"/>
        <v>2.4741128862775677E-10</v>
      </c>
      <c r="E55" s="22">
        <f t="shared" si="5"/>
        <v>1.1918792041481607E-5</v>
      </c>
      <c r="F55" s="22">
        <f t="shared" si="6"/>
        <v>0</v>
      </c>
      <c r="G55" s="22">
        <f t="shared" si="7"/>
        <v>0</v>
      </c>
      <c r="H55" s="22">
        <f t="shared" si="8"/>
        <v>0.99998808096054737</v>
      </c>
      <c r="I55" s="23" cm="1">
        <f t="array" ref="I55">SUMPRODUCT(D55:H55*$K$13:$O$13)</f>
        <v>0.38141569518215185</v>
      </c>
      <c r="J55" s="23">
        <f t="shared" si="9"/>
        <v>1.1216806019328498E-2</v>
      </c>
      <c r="K55" s="23">
        <f t="shared" si="3"/>
        <v>134285.69025005063</v>
      </c>
    </row>
    <row r="56" spans="3:11" x14ac:dyDescent="0.15">
      <c r="C56" s="4">
        <f t="shared" si="2"/>
        <v>39</v>
      </c>
      <c r="D56" s="22">
        <f t="shared" si="4"/>
        <v>1.3607620874526623E-10</v>
      </c>
      <c r="E56" s="22">
        <f t="shared" si="5"/>
        <v>8.9391187722400682E-6</v>
      </c>
      <c r="F56" s="22">
        <f t="shared" si="6"/>
        <v>0</v>
      </c>
      <c r="G56" s="22">
        <f t="shared" si="7"/>
        <v>0</v>
      </c>
      <c r="H56" s="22">
        <f t="shared" si="8"/>
        <v>0.99999106074515165</v>
      </c>
      <c r="I56" s="23" cm="1">
        <f t="array" ref="I56">SUMPRODUCT(D56:H56*$K$13:$O$13)</f>
        <v>0.28605969313178942</v>
      </c>
      <c r="J56" s="23">
        <f t="shared" si="9"/>
        <v>7.6477667240476476E-3</v>
      </c>
      <c r="K56" s="23">
        <f t="shared" si="3"/>
        <v>134285.69789781736</v>
      </c>
    </row>
    <row r="57" spans="3:11" x14ac:dyDescent="0.15">
      <c r="C57" s="4">
        <f t="shared" si="2"/>
        <v>40</v>
      </c>
      <c r="D57" s="22">
        <f t="shared" si="4"/>
        <v>7.4841914809896431E-11</v>
      </c>
      <c r="E57" s="22">
        <f t="shared" si="5"/>
        <v>6.7043526868009258E-6</v>
      </c>
      <c r="F57" s="22">
        <f t="shared" si="6"/>
        <v>0</v>
      </c>
      <c r="G57" s="22">
        <f t="shared" si="7"/>
        <v>0</v>
      </c>
      <c r="H57" s="22">
        <f t="shared" si="8"/>
        <v>0.99999329557247141</v>
      </c>
      <c r="I57" s="23" cm="1">
        <f t="array" ref="I57">SUMPRODUCT(D57:H57*$K$13:$O$13)</f>
        <v>0.21454362680868858</v>
      </c>
      <c r="J57" s="23">
        <f t="shared" si="9"/>
        <v>5.2143586218306864E-3</v>
      </c>
      <c r="K57" s="23">
        <f t="shared" si="3"/>
        <v>134285.70311217598</v>
      </c>
    </row>
    <row r="58" spans="3:11" x14ac:dyDescent="0.15">
      <c r="C58" s="4">
        <f t="shared" si="2"/>
        <v>41</v>
      </c>
      <c r="D58" s="22">
        <f t="shared" si="4"/>
        <v>4.1163053145443039E-11</v>
      </c>
      <c r="E58" s="22">
        <f t="shared" si="5"/>
        <v>5.0282719992921751E-6</v>
      </c>
      <c r="F58" s="22">
        <f t="shared" si="6"/>
        <v>0</v>
      </c>
      <c r="G58" s="22">
        <f t="shared" si="7"/>
        <v>0</v>
      </c>
      <c r="H58" s="22">
        <f t="shared" si="8"/>
        <v>0.99999497168683782</v>
      </c>
      <c r="I58" s="23" cm="1">
        <f t="array" ref="I58">SUMPRODUCT(D58:H58*$K$13:$O$13)</f>
        <v>0.16090709143443205</v>
      </c>
      <c r="J58" s="23">
        <f t="shared" si="9"/>
        <v>3.5552306244200234E-3</v>
      </c>
      <c r="K58" s="23">
        <f t="shared" si="3"/>
        <v>134285.7066674066</v>
      </c>
    </row>
    <row r="59" spans="3:11" x14ac:dyDescent="0.15">
      <c r="C59" s="4">
        <f t="shared" si="2"/>
        <v>42</v>
      </c>
      <c r="D59" s="22">
        <f t="shared" si="4"/>
        <v>2.2639679229993673E-11</v>
      </c>
      <c r="E59" s="22">
        <f t="shared" si="5"/>
        <v>3.7712081157744455E-6</v>
      </c>
      <c r="F59" s="22">
        <f t="shared" si="6"/>
        <v>0</v>
      </c>
      <c r="G59" s="22">
        <f t="shared" si="7"/>
        <v>0</v>
      </c>
      <c r="H59" s="22">
        <f t="shared" si="8"/>
        <v>0.99999622876924477</v>
      </c>
      <c r="I59" s="23" cm="1">
        <f t="array" ref="I59">SUMPRODUCT(D59:H59*$K$13:$O$13)</f>
        <v>0.12067997280617759</v>
      </c>
      <c r="J59" s="23">
        <f t="shared" si="9"/>
        <v>2.424013935054111E-3</v>
      </c>
      <c r="K59" s="23">
        <f t="shared" si="3"/>
        <v>134285.70909142055</v>
      </c>
    </row>
    <row r="60" spans="3:11" x14ac:dyDescent="0.15">
      <c r="C60" s="4">
        <f t="shared" si="2"/>
        <v>43</v>
      </c>
      <c r="D60" s="22">
        <f t="shared" si="4"/>
        <v>1.2451823576496521E-11</v>
      </c>
      <c r="E60" s="22">
        <f t="shared" si="5"/>
        <v>2.828408350798757E-6</v>
      </c>
      <c r="F60" s="22">
        <f t="shared" si="6"/>
        <v>0</v>
      </c>
      <c r="G60" s="22">
        <f t="shared" si="7"/>
        <v>0</v>
      </c>
      <c r="H60" s="22">
        <f t="shared" si="8"/>
        <v>0.99999717157919765</v>
      </c>
      <c r="I60" s="23" cm="1">
        <f t="array" ref="I60">SUMPRODUCT(D60:H60*$K$13:$O$13)</f>
        <v>9.0509789431327661E-2</v>
      </c>
      <c r="J60" s="23">
        <f t="shared" si="9"/>
        <v>1.6527333012843961E-3</v>
      </c>
      <c r="K60" s="23">
        <f t="shared" si="3"/>
        <v>134285.71074415385</v>
      </c>
    </row>
    <row r="61" spans="3:11" x14ac:dyDescent="0.15">
      <c r="C61" s="4">
        <f t="shared" si="2"/>
        <v>44</v>
      </c>
      <c r="D61" s="22">
        <f t="shared" si="4"/>
        <v>6.8485029670730872E-12</v>
      </c>
      <c r="E61" s="22">
        <f t="shared" si="5"/>
        <v>2.1213075082814255E-6</v>
      </c>
      <c r="F61" s="22">
        <f t="shared" si="6"/>
        <v>0</v>
      </c>
      <c r="G61" s="22">
        <f t="shared" si="7"/>
        <v>0</v>
      </c>
      <c r="H61" s="22">
        <f t="shared" si="8"/>
        <v>0.99999787868564349</v>
      </c>
      <c r="I61" s="23" cm="1">
        <f t="array" ref="I61">SUMPRODUCT(D61:H61*$K$13:$O$13)</f>
        <v>6.7882237478177704E-2</v>
      </c>
      <c r="J61" s="23">
        <f t="shared" si="9"/>
        <v>1.1268618782040211E-3</v>
      </c>
      <c r="K61" s="23">
        <f t="shared" si="3"/>
        <v>134285.71187101572</v>
      </c>
    </row>
    <row r="62" spans="3:11" x14ac:dyDescent="0.15">
      <c r="C62" s="4">
        <f t="shared" si="2"/>
        <v>45</v>
      </c>
      <c r="D62" s="22">
        <f t="shared" si="4"/>
        <v>3.7666766318901983E-12</v>
      </c>
      <c r="E62" s="22">
        <f t="shared" si="5"/>
        <v>1.5909813160613657E-6</v>
      </c>
      <c r="F62" s="22">
        <f t="shared" si="6"/>
        <v>0</v>
      </c>
      <c r="G62" s="22">
        <f t="shared" si="7"/>
        <v>0</v>
      </c>
      <c r="H62" s="22">
        <f t="shared" si="8"/>
        <v>0.99999840901491754</v>
      </c>
      <c r="I62" s="23" cm="1">
        <f t="array" ref="I62">SUMPRODUCT(D62:H62*$K$13:$O$13)</f>
        <v>5.091162058120835E-2</v>
      </c>
      <c r="J62" s="23">
        <f t="shared" si="9"/>
        <v>7.6831404880325352E-4</v>
      </c>
      <c r="K62" s="23">
        <f t="shared" si="3"/>
        <v>134285.71263932978</v>
      </c>
    </row>
    <row r="63" spans="3:11" x14ac:dyDescent="0.15">
      <c r="C63" s="4">
        <f t="shared" si="2"/>
        <v>46</v>
      </c>
      <c r="D63" s="22">
        <f t="shared" si="4"/>
        <v>2.0716721475396093E-12</v>
      </c>
      <c r="E63" s="22">
        <f t="shared" si="5"/>
        <v>1.1932363637136875E-6</v>
      </c>
      <c r="F63" s="22">
        <f t="shared" si="6"/>
        <v>0</v>
      </c>
      <c r="G63" s="22">
        <f t="shared" si="7"/>
        <v>0</v>
      </c>
      <c r="H63" s="22">
        <f t="shared" si="8"/>
        <v>0.99999880676156494</v>
      </c>
      <c r="I63" s="23" cm="1">
        <f t="array" ref="I63">SUMPRODUCT(D63:H63*$K$13:$O$13)</f>
        <v>3.8183683795822557E-2</v>
      </c>
      <c r="J63" s="23">
        <f t="shared" si="9"/>
        <v>5.238500537433833E-4</v>
      </c>
      <c r="K63" s="23">
        <f t="shared" si="3"/>
        <v>134285.71316317984</v>
      </c>
    </row>
    <row r="64" spans="3:11" x14ac:dyDescent="0.15">
      <c r="C64" s="4">
        <f t="shared" si="2"/>
        <v>47</v>
      </c>
      <c r="D64" s="22">
        <f t="shared" si="4"/>
        <v>1.1394196811467852E-12</v>
      </c>
      <c r="E64" s="22">
        <f t="shared" si="5"/>
        <v>8.9492747995248034E-7</v>
      </c>
      <c r="F64" s="22">
        <f t="shared" si="6"/>
        <v>0</v>
      </c>
      <c r="G64" s="22">
        <f t="shared" si="7"/>
        <v>0</v>
      </c>
      <c r="H64" s="22">
        <f t="shared" si="8"/>
        <v>0.9999991050713809</v>
      </c>
      <c r="I64" s="23" cm="1">
        <f t="array" ref="I64">SUMPRODUCT(D64:H64*$K$13:$O$13)</f>
        <v>2.8637745444820877E-2</v>
      </c>
      <c r="J64" s="23">
        <f t="shared" si="9"/>
        <v>3.5717027415016201E-4</v>
      </c>
      <c r="K64" s="23">
        <f t="shared" si="3"/>
        <v>134285.71352035011</v>
      </c>
    </row>
    <row r="65" spans="3:11" x14ac:dyDescent="0.15">
      <c r="C65" s="4">
        <f t="shared" si="2"/>
        <v>48</v>
      </c>
      <c r="D65" s="22">
        <f t="shared" si="4"/>
        <v>6.266808246307319E-13</v>
      </c>
      <c r="E65" s="22">
        <f t="shared" si="5"/>
        <v>6.711957239063283E-7</v>
      </c>
      <c r="F65" s="22">
        <f t="shared" si="6"/>
        <v>0</v>
      </c>
      <c r="G65" s="22">
        <f t="shared" si="7"/>
        <v>0</v>
      </c>
      <c r="H65" s="22">
        <f t="shared" si="8"/>
        <v>0.99999932880364972</v>
      </c>
      <c r="I65" s="23" cm="1">
        <f t="array" ref="I65">SUMPRODUCT(D65:H65*$K$13:$O$13)</f>
        <v>2.1478299512490334E-2</v>
      </c>
      <c r="J65" s="23">
        <f t="shared" si="9"/>
        <v>2.4352507840131078E-4</v>
      </c>
      <c r="K65" s="23">
        <f t="shared" si="3"/>
        <v>134285.71376387519</v>
      </c>
    </row>
    <row r="66" spans="3:11" x14ac:dyDescent="0.15">
      <c r="C66" s="4">
        <f t="shared" si="2"/>
        <v>49</v>
      </c>
      <c r="D66" s="22">
        <f t="shared" si="4"/>
        <v>3.4467445354690258E-13</v>
      </c>
      <c r="E66" s="22">
        <f t="shared" si="5"/>
        <v>5.033968555978287E-7</v>
      </c>
      <c r="F66" s="22">
        <f t="shared" si="6"/>
        <v>0</v>
      </c>
      <c r="G66" s="22">
        <f t="shared" si="7"/>
        <v>0</v>
      </c>
      <c r="H66" s="22">
        <f t="shared" si="8"/>
        <v>0.99999949660280008</v>
      </c>
      <c r="I66" s="23" cm="1">
        <f t="array" ref="I66">SUMPRODUCT(D66:H66*$K$13:$O$13)</f>
        <v>1.6108719370248825E-2</v>
      </c>
      <c r="J66" s="23">
        <f t="shared" si="9"/>
        <v>1.6603977192308482E-4</v>
      </c>
      <c r="K66" s="23">
        <f t="shared" si="3"/>
        <v>134285.71392991496</v>
      </c>
    </row>
    <row r="67" spans="3:11" x14ac:dyDescent="0.15">
      <c r="C67" s="4">
        <f t="shared" si="2"/>
        <v>50</v>
      </c>
      <c r="D67" s="22">
        <f t="shared" si="4"/>
        <v>1.8957094945079644E-13</v>
      </c>
      <c r="E67" s="22">
        <f t="shared" si="5"/>
        <v>3.7754767616581689E-7</v>
      </c>
      <c r="F67" s="22">
        <f t="shared" si="6"/>
        <v>0</v>
      </c>
      <c r="G67" s="22">
        <f t="shared" si="7"/>
        <v>0</v>
      </c>
      <c r="H67" s="22">
        <f t="shared" si="8"/>
        <v>0.99999962245213458</v>
      </c>
      <c r="I67" s="23" cm="1">
        <f t="array" ref="I67">SUMPRODUCT(D67:H67*$K$13:$O$13)</f>
        <v>1.208153663242121E-2</v>
      </c>
      <c r="J67" s="23">
        <f t="shared" si="9"/>
        <v>1.1320890827228974E-4</v>
      </c>
      <c r="K67" s="23">
        <f t="shared" si="3"/>
        <v>134285.71404312385</v>
      </c>
    </row>
    <row r="68" spans="3:11" x14ac:dyDescent="0.15">
      <c r="C68" s="4">
        <f t="shared" si="2"/>
        <v>51</v>
      </c>
      <c r="D68" s="22">
        <f t="shared" si="4"/>
        <v>1.0426402219793805E-13</v>
      </c>
      <c r="E68" s="22">
        <f t="shared" si="5"/>
        <v>2.8316077608145763E-7</v>
      </c>
      <c r="F68" s="22">
        <f t="shared" si="6"/>
        <v>0</v>
      </c>
      <c r="G68" s="22">
        <f t="shared" si="7"/>
        <v>0</v>
      </c>
      <c r="H68" s="22">
        <f t="shared" si="8"/>
        <v>0.99999971683911992</v>
      </c>
      <c r="I68" s="23" cm="1">
        <f t="array" ref="I68">SUMPRODUCT(D68:H68*$K$13:$O$13)</f>
        <v>9.0611508819199316E-3</v>
      </c>
      <c r="J68" s="23">
        <f t="shared" si="9"/>
        <v>7.7187878438927127E-5</v>
      </c>
      <c r="K68" s="23">
        <f t="shared" si="3"/>
        <v>134285.71412031172</v>
      </c>
    </row>
    <row r="69" spans="3:11" x14ac:dyDescent="0.15">
      <c r="C69" s="4">
        <f t="shared" si="2"/>
        <v>52</v>
      </c>
      <c r="D69" s="22">
        <f t="shared" si="4"/>
        <v>5.7345212208865926E-14</v>
      </c>
      <c r="E69" s="22">
        <f t="shared" si="5"/>
        <v>2.1237059248749546E-7</v>
      </c>
      <c r="F69" s="22">
        <f t="shared" si="6"/>
        <v>0</v>
      </c>
      <c r="G69" s="22">
        <f t="shared" si="7"/>
        <v>0</v>
      </c>
      <c r="H69" s="22">
        <f t="shared" si="8"/>
        <v>0.99999978762935049</v>
      </c>
      <c r="I69" s="23" cm="1">
        <f t="array" ref="I69">SUMPRODUCT(D69:H69*$K$13:$O$13)</f>
        <v>6.7958622856221628E-3</v>
      </c>
      <c r="J69" s="23">
        <f t="shared" si="9"/>
        <v>5.2628092153178743E-5</v>
      </c>
      <c r="K69" s="23">
        <f t="shared" si="3"/>
        <v>134285.7141729398</v>
      </c>
    </row>
    <row r="70" spans="3:11" x14ac:dyDescent="0.15">
      <c r="C70" s="4">
        <f t="shared" si="2"/>
        <v>53</v>
      </c>
      <c r="D70" s="22">
        <f t="shared" si="4"/>
        <v>3.1539866714876263E-14</v>
      </c>
      <c r="E70" s="22">
        <f t="shared" si="5"/>
        <v>1.5927795010014281E-7</v>
      </c>
      <c r="F70" s="22">
        <f t="shared" si="6"/>
        <v>0</v>
      </c>
      <c r="G70" s="22">
        <f t="shared" si="7"/>
        <v>0</v>
      </c>
      <c r="H70" s="22">
        <f t="shared" si="8"/>
        <v>0.99999984072201864</v>
      </c>
      <c r="I70" s="23" cm="1">
        <f t="array" ref="I70">SUMPRODUCT(D70:H70*$K$13:$O$13)</f>
        <v>5.0968962325168392E-3</v>
      </c>
      <c r="J70" s="23">
        <f t="shared" si="9"/>
        <v>3.5882786713213352E-5</v>
      </c>
      <c r="K70" s="23">
        <f t="shared" si="3"/>
        <v>134285.71420882258</v>
      </c>
    </row>
    <row r="71" spans="3:11" x14ac:dyDescent="0.15">
      <c r="C71" s="4">
        <f t="shared" si="2"/>
        <v>54</v>
      </c>
      <c r="D71" s="22">
        <f t="shared" si="4"/>
        <v>1.7346926693181946E-14</v>
      </c>
      <c r="E71" s="22">
        <f t="shared" si="5"/>
        <v>1.194584657290938E-7</v>
      </c>
      <c r="F71" s="22">
        <f t="shared" si="6"/>
        <v>0</v>
      </c>
      <c r="G71" s="22">
        <f t="shared" si="7"/>
        <v>0</v>
      </c>
      <c r="H71" s="22">
        <f t="shared" si="8"/>
        <v>0.99999988054151723</v>
      </c>
      <c r="I71" s="23" cm="1">
        <f t="array" ref="I71">SUMPRODUCT(D71:H71*$K$13:$O$13)</f>
        <v>3.8226719094527502E-3</v>
      </c>
      <c r="J71" s="23">
        <f t="shared" si="9"/>
        <v>2.4465534699759401E-5</v>
      </c>
      <c r="K71" s="23">
        <f t="shared" si="3"/>
        <v>134285.7142332881</v>
      </c>
    </row>
    <row r="72" spans="3:11" x14ac:dyDescent="0.15">
      <c r="C72" s="4">
        <f t="shared" si="2"/>
        <v>55</v>
      </c>
      <c r="D72" s="22">
        <f t="shared" si="4"/>
        <v>9.5408096812500706E-15</v>
      </c>
      <c r="E72" s="22">
        <f t="shared" si="5"/>
        <v>8.9593851031513017E-8</v>
      </c>
      <c r="F72" s="22">
        <f t="shared" si="6"/>
        <v>0</v>
      </c>
      <c r="G72" s="22">
        <f t="shared" si="7"/>
        <v>0</v>
      </c>
      <c r="H72" s="22">
        <f t="shared" si="8"/>
        <v>0.99999991040613978</v>
      </c>
      <c r="I72" s="23" cm="1">
        <f t="array" ref="I72">SUMPRODUCT(D72:H72*$K$13:$O$13)</f>
        <v>2.8670037863753784E-3</v>
      </c>
      <c r="J72" s="23">
        <f t="shared" si="9"/>
        <v>1.6681045538392916E-5</v>
      </c>
      <c r="K72" s="23">
        <f t="shared" si="3"/>
        <v>134285.71424996914</v>
      </c>
    </row>
    <row r="73" spans="3:11" x14ac:dyDescent="0.15">
      <c r="C73" s="4">
        <f t="shared" si="2"/>
        <v>56</v>
      </c>
      <c r="D73" s="22">
        <f t="shared" si="4"/>
        <v>5.2474453246875391E-15</v>
      </c>
      <c r="E73" s="22">
        <f t="shared" si="5"/>
        <v>6.7195389227715737E-8</v>
      </c>
      <c r="F73" s="22">
        <f t="shared" si="6"/>
        <v>0</v>
      </c>
      <c r="G73" s="22">
        <f t="shared" si="7"/>
        <v>0</v>
      </c>
      <c r="H73" s="22">
        <f t="shared" si="8"/>
        <v>0.99999993280460586</v>
      </c>
      <c r="I73" s="23" cm="1">
        <f t="array" ref="I73">SUMPRODUCT(D73:H73*$K$13:$O$13)</f>
        <v>2.1502527596387326E-3</v>
      </c>
      <c r="J73" s="23">
        <f t="shared" si="9"/>
        <v>1.1373439715910014E-5</v>
      </c>
      <c r="K73" s="23">
        <f t="shared" si="3"/>
        <v>134285.71426134257</v>
      </c>
    </row>
    <row r="74" spans="3:11" x14ac:dyDescent="0.15">
      <c r="C74" s="4">
        <f t="shared" si="2"/>
        <v>57</v>
      </c>
      <c r="D74" s="22">
        <f t="shared" si="4"/>
        <v>2.8860949285781467E-15</v>
      </c>
      <c r="E74" s="22">
        <f t="shared" si="5"/>
        <v>5.0396542445531341E-8</v>
      </c>
      <c r="F74" s="22">
        <f t="shared" si="6"/>
        <v>0</v>
      </c>
      <c r="G74" s="22">
        <f t="shared" si="7"/>
        <v>0</v>
      </c>
      <c r="H74" s="22">
        <f t="shared" si="8"/>
        <v>0.99999994960345495</v>
      </c>
      <c r="I74" s="23" cm="1">
        <f t="array" ref="I74">SUMPRODUCT(D74:H74*$K$13:$O$13)</f>
        <v>1.6126895256505088E-3</v>
      </c>
      <c r="J74" s="23">
        <f t="shared" si="9"/>
        <v>7.7546177761687988E-6</v>
      </c>
      <c r="K74" s="23">
        <f t="shared" si="3"/>
        <v>134285.7142690972</v>
      </c>
    </row>
    <row r="75" spans="3:11" x14ac:dyDescent="0.15">
      <c r="C75" s="4">
        <f t="shared" si="2"/>
        <v>58</v>
      </c>
      <c r="D75" s="22">
        <f t="shared" si="4"/>
        <v>1.5873522107179808E-15</v>
      </c>
      <c r="E75" s="22">
        <f t="shared" si="5"/>
        <v>3.7797407122757995E-8</v>
      </c>
      <c r="F75" s="22">
        <f t="shared" si="6"/>
        <v>0</v>
      </c>
      <c r="G75" s="22">
        <f t="shared" si="7"/>
        <v>0</v>
      </c>
      <c r="H75" s="22">
        <f t="shared" si="8"/>
        <v>0.99999996220259157</v>
      </c>
      <c r="I75" s="23" cm="1">
        <f t="array" ref="I75">SUMPRODUCT(D75:H75*$K$13:$O$13)</f>
        <v>1.2095171199946841E-3</v>
      </c>
      <c r="J75" s="23">
        <f t="shared" si="9"/>
        <v>5.2872392868665269E-6</v>
      </c>
      <c r="K75" s="23">
        <f t="shared" si="3"/>
        <v>134285.71427438443</v>
      </c>
    </row>
    <row r="76" spans="3:11" x14ac:dyDescent="0.15">
      <c r="C76" s="4">
        <f t="shared" si="2"/>
        <v>59</v>
      </c>
      <c r="D76" s="22">
        <f t="shared" si="4"/>
        <v>8.7304371589488953E-16</v>
      </c>
      <c r="E76" s="22">
        <f t="shared" si="5"/>
        <v>2.8348055500803718E-8</v>
      </c>
      <c r="F76" s="22">
        <f t="shared" si="6"/>
        <v>0</v>
      </c>
      <c r="G76" s="22">
        <f t="shared" si="7"/>
        <v>0</v>
      </c>
      <c r="H76" s="22">
        <f t="shared" si="8"/>
        <v>0.99999997165194388</v>
      </c>
      <c r="I76" s="23" cm="1">
        <f t="array" ref="I76">SUMPRODUCT(D76:H76*$K$13:$O$13)</f>
        <v>9.0713782666225452E-4</v>
      </c>
      <c r="J76" s="23">
        <f t="shared" si="9"/>
        <v>3.6049358244210782E-6</v>
      </c>
      <c r="K76" s="23">
        <f t="shared" si="3"/>
        <v>134285.71427798938</v>
      </c>
    </row>
    <row r="77" spans="3:11" x14ac:dyDescent="0.15">
      <c r="C77" s="4">
        <f t="shared" si="2"/>
        <v>60</v>
      </c>
      <c r="D77" s="22">
        <f t="shared" si="4"/>
        <v>4.8017404374218932E-16</v>
      </c>
      <c r="E77" s="22">
        <f t="shared" si="5"/>
        <v>2.126104171290716E-8</v>
      </c>
      <c r="F77" s="22">
        <f t="shared" si="6"/>
        <v>0</v>
      </c>
      <c r="G77" s="22">
        <f t="shared" si="7"/>
        <v>0</v>
      </c>
      <c r="H77" s="22">
        <f t="shared" si="8"/>
        <v>0.99999997873895807</v>
      </c>
      <c r="I77" s="23" cm="1">
        <f t="array" ref="I77">SUMPRODUCT(D77:H77*$K$13:$O$13)</f>
        <v>6.8035336266312368E-4</v>
      </c>
      <c r="J77" s="23">
        <f t="shared" si="9"/>
        <v>2.4579107628840488E-6</v>
      </c>
      <c r="K77" s="93">
        <f t="shared" si="3"/>
        <v>134285.71428044728</v>
      </c>
    </row>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E35B3-8BFA-486C-82E2-7F281CB6C7FE}">
  <dimension ref="B1:T76"/>
  <sheetViews>
    <sheetView tabSelected="1" zoomScale="60" zoomScaleNormal="60" workbookViewId="0">
      <selection activeCell="N4" sqref="N4"/>
    </sheetView>
  </sheetViews>
  <sheetFormatPr baseColWidth="10" defaultColWidth="8.6640625" defaultRowHeight="13" x14ac:dyDescent="0.15"/>
  <cols>
    <col min="1" max="1" width="8.6640625" style="4"/>
    <col min="2" max="2" width="40" style="4" customWidth="1"/>
    <col min="3" max="5" width="8.6640625" style="4"/>
    <col min="6" max="6" width="43" style="4" customWidth="1"/>
    <col min="7" max="7" width="8.6640625" style="4"/>
    <col min="8" max="8" width="12.1640625" style="4" bestFit="1" customWidth="1"/>
    <col min="9" max="9" width="26.33203125" style="4" customWidth="1"/>
    <col min="10" max="10" width="20.5" style="4" customWidth="1"/>
    <col min="11" max="11" width="17.33203125" style="4" customWidth="1"/>
    <col min="12" max="12" width="9.83203125" style="4" customWidth="1"/>
    <col min="13" max="13" width="32.83203125" style="4" customWidth="1"/>
    <col min="14" max="14" width="16.33203125" style="4" customWidth="1"/>
    <col min="15" max="15" width="9.5" style="4" customWidth="1"/>
    <col min="16" max="16" width="17.5" style="4" customWidth="1"/>
    <col min="17" max="17" width="18.5" style="4" bestFit="1" customWidth="1"/>
    <col min="18" max="18" width="21.5" style="4" customWidth="1"/>
    <col min="19" max="19" width="8.6640625" style="4" customWidth="1"/>
    <col min="20" max="20" width="15" style="4" customWidth="1"/>
    <col min="21" max="16384" width="8.6640625" style="4"/>
  </cols>
  <sheetData>
    <row r="1" spans="2:15" x14ac:dyDescent="0.15">
      <c r="G1" s="5"/>
      <c r="H1" s="6" t="s">
        <v>0</v>
      </c>
      <c r="I1" s="6" t="s">
        <v>1</v>
      </c>
      <c r="J1" s="6" t="s">
        <v>113</v>
      </c>
      <c r="K1" s="87" t="s">
        <v>2</v>
      </c>
      <c r="L1" s="109" t="s">
        <v>3</v>
      </c>
    </row>
    <row r="2" spans="2:15" ht="42" x14ac:dyDescent="0.2">
      <c r="B2" t="s">
        <v>4</v>
      </c>
      <c r="C2">
        <v>150</v>
      </c>
      <c r="D2" t="s">
        <v>5</v>
      </c>
      <c r="G2" s="11" t="s">
        <v>6</v>
      </c>
      <c r="H2" s="50">
        <f>C2*C4*12</f>
        <v>180000</v>
      </c>
      <c r="I2" s="50">
        <v>117000</v>
      </c>
      <c r="J2" s="50">
        <f>H2-I2</f>
        <v>63000</v>
      </c>
      <c r="K2" s="83">
        <v>5000</v>
      </c>
      <c r="L2" s="110">
        <f>J2-K2</f>
        <v>58000</v>
      </c>
    </row>
    <row r="3" spans="2:15" ht="28" x14ac:dyDescent="0.2">
      <c r="B3" t="s">
        <v>7</v>
      </c>
      <c r="C3">
        <v>20</v>
      </c>
      <c r="D3" t="s">
        <v>5</v>
      </c>
      <c r="G3" s="11" t="s">
        <v>8</v>
      </c>
      <c r="H3" s="50">
        <f>C2*C5*12</f>
        <v>144000</v>
      </c>
      <c r="I3" s="50">
        <v>108000</v>
      </c>
      <c r="J3" s="50">
        <f>H3-I3</f>
        <v>36000</v>
      </c>
      <c r="K3" s="83">
        <v>4000</v>
      </c>
      <c r="L3" s="110">
        <f t="shared" ref="L3:L5" si="0">J3-K3</f>
        <v>32000</v>
      </c>
    </row>
    <row r="4" spans="2:15" ht="42" x14ac:dyDescent="0.2">
      <c r="B4" t="s">
        <v>9</v>
      </c>
      <c r="C4" s="2">
        <v>100</v>
      </c>
      <c r="D4" t="s">
        <v>10</v>
      </c>
      <c r="G4" s="11" t="s">
        <v>11</v>
      </c>
      <c r="H4" s="50">
        <f>C3*C4*12</f>
        <v>24000</v>
      </c>
      <c r="I4" s="50">
        <v>13200</v>
      </c>
      <c r="J4" s="50">
        <f t="shared" ref="J4:J5" si="1">H4-I4</f>
        <v>10800</v>
      </c>
      <c r="K4" s="83">
        <v>1500</v>
      </c>
      <c r="L4" s="110">
        <f t="shared" si="0"/>
        <v>9300</v>
      </c>
    </row>
    <row r="5" spans="2:15" ht="28" x14ac:dyDescent="0.2">
      <c r="B5" t="s">
        <v>12</v>
      </c>
      <c r="C5" s="2">
        <v>80</v>
      </c>
      <c r="D5" t="s">
        <v>10</v>
      </c>
      <c r="G5" s="17" t="s">
        <v>13</v>
      </c>
      <c r="H5" s="69">
        <f>C3*C5*12</f>
        <v>19200</v>
      </c>
      <c r="I5" s="69">
        <v>12000</v>
      </c>
      <c r="J5" s="69">
        <f t="shared" si="1"/>
        <v>7200</v>
      </c>
      <c r="K5" s="85">
        <v>1000</v>
      </c>
      <c r="L5" s="111">
        <f t="shared" si="0"/>
        <v>6200</v>
      </c>
    </row>
    <row r="6" spans="2:15" ht="15" x14ac:dyDescent="0.2">
      <c r="B6"/>
      <c r="C6" s="2"/>
      <c r="D6"/>
    </row>
    <row r="7" spans="2:15" x14ac:dyDescent="0.15">
      <c r="B7" s="3" t="s">
        <v>14</v>
      </c>
    </row>
    <row r="8" spans="2:15" x14ac:dyDescent="0.15">
      <c r="B8" s="88"/>
      <c r="C8" s="87"/>
      <c r="D8" s="6"/>
      <c r="E8" s="6" t="s">
        <v>15</v>
      </c>
      <c r="F8" s="6"/>
      <c r="G8" s="6"/>
      <c r="H8" s="7"/>
      <c r="J8" s="8" t="s">
        <v>16</v>
      </c>
      <c r="L8" s="4">
        <v>10</v>
      </c>
      <c r="M8" s="4" t="s">
        <v>17</v>
      </c>
    </row>
    <row r="9" spans="2:15" ht="41" customHeight="1" x14ac:dyDescent="0.15">
      <c r="B9" s="89"/>
      <c r="C9" s="83"/>
      <c r="D9" s="9" t="s">
        <v>6</v>
      </c>
      <c r="E9" s="9" t="s">
        <v>8</v>
      </c>
      <c r="F9" s="9" t="s">
        <v>11</v>
      </c>
      <c r="G9" s="9" t="s">
        <v>13</v>
      </c>
      <c r="H9" s="10" t="s">
        <v>18</v>
      </c>
    </row>
    <row r="10" spans="2:15" ht="42" x14ac:dyDescent="0.15">
      <c r="B10" s="89"/>
      <c r="C10" s="84" t="s">
        <v>6</v>
      </c>
      <c r="D10" s="29">
        <v>0.55000000000000004</v>
      </c>
      <c r="E10" s="29">
        <v>0.1</v>
      </c>
      <c r="F10" s="29">
        <v>0</v>
      </c>
      <c r="G10" s="29">
        <v>0</v>
      </c>
      <c r="H10" s="12">
        <v>0.35</v>
      </c>
      <c r="J10" s="3" t="s">
        <v>19</v>
      </c>
    </row>
    <row r="11" spans="2:15" ht="28" x14ac:dyDescent="0.15">
      <c r="B11" s="89" t="s">
        <v>20</v>
      </c>
      <c r="C11" s="84" t="s">
        <v>8</v>
      </c>
      <c r="D11" s="29">
        <v>0</v>
      </c>
      <c r="E11" s="29">
        <v>0.75</v>
      </c>
      <c r="F11" s="29">
        <v>0</v>
      </c>
      <c r="G11" s="29">
        <v>0</v>
      </c>
      <c r="H11" s="12">
        <v>0.25</v>
      </c>
      <c r="J11" s="13" t="s">
        <v>21</v>
      </c>
      <c r="K11" s="74" t="s">
        <v>6</v>
      </c>
      <c r="L11" s="74" t="s">
        <v>8</v>
      </c>
      <c r="M11" s="74" t="s">
        <v>11</v>
      </c>
      <c r="N11" s="74" t="s">
        <v>13</v>
      </c>
      <c r="O11" s="75" t="s">
        <v>18</v>
      </c>
    </row>
    <row r="12" spans="2:15" ht="42" x14ac:dyDescent="0.15">
      <c r="B12" s="89" t="s">
        <v>22</v>
      </c>
      <c r="C12" s="84" t="s">
        <v>11</v>
      </c>
      <c r="D12" s="29">
        <v>0</v>
      </c>
      <c r="E12" s="29">
        <v>0</v>
      </c>
      <c r="F12" s="29">
        <v>0.57999999999999996</v>
      </c>
      <c r="G12" s="29">
        <v>0.02</v>
      </c>
      <c r="H12" s="12">
        <v>0.4</v>
      </c>
      <c r="J12" s="14" t="s">
        <v>23</v>
      </c>
      <c r="K12" s="52">
        <f>J2-K2</f>
        <v>58000</v>
      </c>
      <c r="L12" s="52">
        <f>J3-K3</f>
        <v>32000</v>
      </c>
      <c r="M12" s="15">
        <f>J4-K4</f>
        <v>9300</v>
      </c>
      <c r="N12" s="52">
        <f>J5-K5</f>
        <v>6200</v>
      </c>
      <c r="O12" s="16">
        <v>0</v>
      </c>
    </row>
    <row r="13" spans="2:15" ht="28" x14ac:dyDescent="0.15">
      <c r="B13" s="89"/>
      <c r="C13" s="84" t="s">
        <v>13</v>
      </c>
      <c r="D13" s="29">
        <v>0</v>
      </c>
      <c r="E13" s="29">
        <v>0</v>
      </c>
      <c r="F13" s="29">
        <v>0</v>
      </c>
      <c r="G13" s="29">
        <v>0.7</v>
      </c>
      <c r="H13" s="12">
        <v>0.3</v>
      </c>
    </row>
    <row r="14" spans="2:15" ht="15" x14ac:dyDescent="0.15">
      <c r="B14" s="90"/>
      <c r="C14" s="86" t="s">
        <v>18</v>
      </c>
      <c r="D14" s="18">
        <v>0</v>
      </c>
      <c r="E14" s="18">
        <v>0</v>
      </c>
      <c r="F14" s="18">
        <v>0</v>
      </c>
      <c r="G14" s="18">
        <v>0</v>
      </c>
      <c r="H14" s="19">
        <v>1</v>
      </c>
    </row>
    <row r="15" spans="2:15" x14ac:dyDescent="0.15">
      <c r="L15" s="23"/>
    </row>
    <row r="16" spans="2:15" ht="42" x14ac:dyDescent="0.15">
      <c r="B16" s="56" t="s">
        <v>120</v>
      </c>
      <c r="C16" s="20" t="s">
        <v>24</v>
      </c>
      <c r="D16" s="21" t="s">
        <v>6</v>
      </c>
      <c r="E16" s="21" t="s">
        <v>8</v>
      </c>
      <c r="F16" s="21" t="s">
        <v>11</v>
      </c>
      <c r="G16" s="21" t="s">
        <v>13</v>
      </c>
      <c r="H16" s="21" t="s">
        <v>18</v>
      </c>
      <c r="I16" s="21" t="s">
        <v>25</v>
      </c>
      <c r="J16" s="21" t="s">
        <v>26</v>
      </c>
      <c r="K16" s="21" t="s">
        <v>27</v>
      </c>
    </row>
    <row r="17" spans="3:20" x14ac:dyDescent="0.15">
      <c r="C17" s="4">
        <v>1</v>
      </c>
      <c r="D17" s="22">
        <v>0</v>
      </c>
      <c r="E17" s="22">
        <v>0</v>
      </c>
      <c r="F17" s="22">
        <v>0</v>
      </c>
      <c r="G17" s="22">
        <v>0</v>
      </c>
      <c r="H17" s="22">
        <v>0</v>
      </c>
      <c r="I17" s="23" cm="1">
        <f t="array" ref="I17">SUMPRODUCT(D17:H17*$K$12:$O$12)</f>
        <v>0</v>
      </c>
      <c r="J17" s="23">
        <f>I17/(1+$L$8/(100))^(C17-1)</f>
        <v>0</v>
      </c>
      <c r="K17" s="23">
        <f>J17</f>
        <v>0</v>
      </c>
      <c r="M17" s="3" t="s">
        <v>121</v>
      </c>
      <c r="N17" s="24">
        <f>K76</f>
        <v>11645.379413855968</v>
      </c>
    </row>
    <row r="18" spans="3:20" x14ac:dyDescent="0.15">
      <c r="C18" s="4">
        <f t="shared" ref="C18:C76" si="2">C17+1</f>
        <v>2</v>
      </c>
      <c r="D18" s="22">
        <v>0</v>
      </c>
      <c r="E18" s="22">
        <v>0</v>
      </c>
      <c r="F18" s="22">
        <v>0</v>
      </c>
      <c r="G18" s="22">
        <v>0</v>
      </c>
      <c r="H18" s="22">
        <f>D17*$H$10+E17*$H$11+F17*$H$12+G17*$H$13+H17*$H$14</f>
        <v>0</v>
      </c>
      <c r="I18" s="23" cm="1">
        <f t="array" ref="I18">SUMPRODUCT(D18:H18*$K$12:$O$12)</f>
        <v>0</v>
      </c>
      <c r="J18" s="23">
        <f>I18/(1+$L$8/(100))^(C18-1)</f>
        <v>0</v>
      </c>
      <c r="K18" s="23">
        <f t="shared" ref="K18:K76" si="3">K17+J18</f>
        <v>0</v>
      </c>
    </row>
    <row r="19" spans="3:20" ht="14" thickBot="1" x14ac:dyDescent="0.2">
      <c r="C19" s="4">
        <f t="shared" si="2"/>
        <v>3</v>
      </c>
      <c r="D19" s="22">
        <v>0</v>
      </c>
      <c r="E19" s="22">
        <v>0</v>
      </c>
      <c r="F19" s="22">
        <v>0</v>
      </c>
      <c r="G19" s="22">
        <v>0</v>
      </c>
      <c r="H19" s="22">
        <f t="shared" ref="H19:H76" si="4">D18*$H$10+E18*$H$11+F18*$H$12+G18*$H$13+H18*$H$14</f>
        <v>0</v>
      </c>
      <c r="I19" s="23" cm="1">
        <f t="array" ref="I19">SUMPRODUCT(D19:H19*$K$12:$O$12)</f>
        <v>0</v>
      </c>
      <c r="J19" s="23">
        <f t="shared" ref="J19:J76" si="5">I19/(1+$L$8/(100))^(C19-1)</f>
        <v>0</v>
      </c>
      <c r="K19" s="23">
        <f t="shared" si="3"/>
        <v>0</v>
      </c>
    </row>
    <row r="20" spans="3:20" x14ac:dyDescent="0.15">
      <c r="C20" s="4">
        <f t="shared" si="2"/>
        <v>4</v>
      </c>
      <c r="D20" s="22">
        <v>0</v>
      </c>
      <c r="E20" s="22">
        <v>0</v>
      </c>
      <c r="F20" s="22">
        <v>0</v>
      </c>
      <c r="G20" s="22">
        <v>0</v>
      </c>
      <c r="H20" s="22">
        <f t="shared" si="4"/>
        <v>0</v>
      </c>
      <c r="I20" s="23" cm="1">
        <f t="array" ref="I20">SUMPRODUCT(D20:H20*$K$12:$O$12)</f>
        <v>0</v>
      </c>
      <c r="J20" s="23">
        <f t="shared" si="5"/>
        <v>0</v>
      </c>
      <c r="K20" s="23">
        <f t="shared" si="3"/>
        <v>0</v>
      </c>
      <c r="L20" s="25"/>
      <c r="M20" s="30" t="s">
        <v>122</v>
      </c>
      <c r="N20" s="6" t="s">
        <v>117</v>
      </c>
      <c r="O20" s="6" t="s">
        <v>118</v>
      </c>
      <c r="P20" s="7" t="s">
        <v>119</v>
      </c>
      <c r="Q20" s="30" t="s">
        <v>123</v>
      </c>
      <c r="R20" s="6" t="s">
        <v>117</v>
      </c>
      <c r="S20" s="6" t="s">
        <v>118</v>
      </c>
      <c r="T20" s="7" t="s">
        <v>119</v>
      </c>
    </row>
    <row r="21" spans="3:20" ht="14" x14ac:dyDescent="0.15">
      <c r="C21" s="99">
        <f t="shared" si="2"/>
        <v>5</v>
      </c>
      <c r="D21" s="100">
        <v>0</v>
      </c>
      <c r="E21" s="100">
        <v>0</v>
      </c>
      <c r="F21" s="100">
        <v>0</v>
      </c>
      <c r="G21" s="100">
        <v>1</v>
      </c>
      <c r="H21" s="100">
        <f t="shared" si="4"/>
        <v>0</v>
      </c>
      <c r="I21" s="101" cm="1">
        <f t="array" ref="I21">SUMPRODUCT(D21:H21*$K$12:$O$12)</f>
        <v>6200</v>
      </c>
      <c r="J21" s="101">
        <f t="shared" si="5"/>
        <v>4234.6834232634374</v>
      </c>
      <c r="K21" s="101">
        <f t="shared" si="3"/>
        <v>4234.6834232634374</v>
      </c>
      <c r="M21" s="11" t="s">
        <v>6</v>
      </c>
      <c r="N21" s="34">
        <v>122077.92207089944</v>
      </c>
      <c r="O21" s="4">
        <v>0</v>
      </c>
      <c r="P21" s="35">
        <v>107425.89304009287</v>
      </c>
      <c r="Q21" s="11" t="s">
        <v>6</v>
      </c>
      <c r="R21" s="34">
        <v>122077.92207089944</v>
      </c>
      <c r="S21" s="4">
        <v>0</v>
      </c>
      <c r="T21" s="35">
        <v>107425.89304009287</v>
      </c>
    </row>
    <row r="22" spans="3:20" ht="14" x14ac:dyDescent="0.15">
      <c r="C22" s="4">
        <f t="shared" si="2"/>
        <v>6</v>
      </c>
      <c r="D22" s="22">
        <f t="shared" ref="D22:D76" si="6">D21*$D$10+E21*$D$11+F21*$D$12+G21*$D$13+ H21*$D$14</f>
        <v>0</v>
      </c>
      <c r="E22" s="22">
        <f t="shared" ref="E22:E76" si="7">D21*$E$10+E21*$E$11+F21*$E$12+G21*$E$13+H21*$E$14</f>
        <v>0</v>
      </c>
      <c r="F22" s="22">
        <f>D21*$F$10+E21*$F$11+F21*$F$12+G21*$F$13+H21*$F$14</f>
        <v>0</v>
      </c>
      <c r="G22" s="22">
        <f t="shared" ref="G22:G76" si="8">D21*$G$10+E21*$G$11+F21*$G$12+G21*$G$13+H21*$G$14</f>
        <v>0.7</v>
      </c>
      <c r="H22" s="22">
        <f t="shared" si="4"/>
        <v>0.3</v>
      </c>
      <c r="I22" s="23" cm="1">
        <f t="array" ref="I22">SUMPRODUCT(D22:H22*$K$12:$O$12)</f>
        <v>4340</v>
      </c>
      <c r="J22" s="23">
        <f t="shared" si="5"/>
        <v>2694.7985420767327</v>
      </c>
      <c r="K22" s="23">
        <f t="shared" si="3"/>
        <v>6929.4819653401701</v>
      </c>
      <c r="M22" s="11" t="s">
        <v>8</v>
      </c>
      <c r="N22" s="34">
        <v>91428.571414526232</v>
      </c>
      <c r="O22" s="53">
        <f>'Q4&amp;Q5'!G16</f>
        <v>53.333333333333329</v>
      </c>
      <c r="P22" s="35">
        <v>71669.967898367599</v>
      </c>
      <c r="Q22" s="11" t="s">
        <v>8</v>
      </c>
      <c r="R22" s="34">
        <v>91428.571414526232</v>
      </c>
      <c r="S22" s="53">
        <f>'Q4&amp;Q5'!H16</f>
        <v>27</v>
      </c>
      <c r="T22" s="35">
        <v>71669.967898367599</v>
      </c>
    </row>
    <row r="23" spans="3:20" ht="14" x14ac:dyDescent="0.15">
      <c r="C23" s="4">
        <f t="shared" si="2"/>
        <v>7</v>
      </c>
      <c r="D23" s="22">
        <f t="shared" si="6"/>
        <v>0</v>
      </c>
      <c r="E23" s="22">
        <f t="shared" si="7"/>
        <v>0</v>
      </c>
      <c r="F23" s="22">
        <f>D22*$F$10+E22*$F$11+F22*$F$12+G22*$F$13+H22*$F$14</f>
        <v>0</v>
      </c>
      <c r="G23" s="22">
        <f t="shared" si="8"/>
        <v>0.48999999999999994</v>
      </c>
      <c r="H23" s="22">
        <f t="shared" si="4"/>
        <v>0.51</v>
      </c>
      <c r="I23" s="23" cm="1">
        <f t="array" ref="I23">SUMPRODUCT(D23:H23*$K$12:$O$12)</f>
        <v>3037.9999999999995</v>
      </c>
      <c r="J23" s="23">
        <f t="shared" si="5"/>
        <v>1714.8717995033749</v>
      </c>
      <c r="K23" s="23">
        <f t="shared" si="3"/>
        <v>8644.3537648435449</v>
      </c>
      <c r="M23" s="11" t="s">
        <v>11</v>
      </c>
      <c r="N23" s="34">
        <v>18480.769230762457</v>
      </c>
      <c r="O23" s="55">
        <f>'Q4&amp;Q5'!G21</f>
        <v>200</v>
      </c>
      <c r="P23" s="35">
        <v>16828.360904309811</v>
      </c>
      <c r="Q23" s="11" t="s">
        <v>11</v>
      </c>
      <c r="R23" s="34">
        <v>18480.769230762457</v>
      </c>
      <c r="S23" s="55">
        <f>'Q4&amp;Q5'!H21</f>
        <v>300</v>
      </c>
      <c r="T23" s="35">
        <v>16828.360904309811</v>
      </c>
    </row>
    <row r="24" spans="3:20" ht="14" x14ac:dyDescent="0.15">
      <c r="C24" s="4">
        <f t="shared" si="2"/>
        <v>8</v>
      </c>
      <c r="D24" s="22">
        <f t="shared" si="6"/>
        <v>0</v>
      </c>
      <c r="E24" s="22">
        <f t="shared" si="7"/>
        <v>0</v>
      </c>
      <c r="F24" s="22">
        <f t="shared" ref="F24:F76" si="9">D23*$F$10+E23*$F$11+F23*$F$12+G23*$F$13+H23*$F$14</f>
        <v>0</v>
      </c>
      <c r="G24" s="22">
        <f t="shared" si="8"/>
        <v>0.34299999999999992</v>
      </c>
      <c r="H24" s="22">
        <f t="shared" si="4"/>
        <v>0.65700000000000003</v>
      </c>
      <c r="I24" s="23" cm="1">
        <f t="array" ref="I24">SUMPRODUCT(D24:H24*$K$12:$O$12)</f>
        <v>2126.5999999999995</v>
      </c>
      <c r="J24" s="23">
        <f t="shared" si="5"/>
        <v>1091.2820542294201</v>
      </c>
      <c r="K24" s="23">
        <f t="shared" si="3"/>
        <v>9735.6358190729643</v>
      </c>
      <c r="M24" s="11" t="s">
        <v>13</v>
      </c>
      <c r="N24" s="34">
        <v>15499.99999995936</v>
      </c>
      <c r="O24" s="53">
        <f>'Q4&amp;Q5'!G26</f>
        <v>600</v>
      </c>
      <c r="P24" s="35">
        <v>12958.131275186117</v>
      </c>
      <c r="Q24" s="11" t="s">
        <v>13</v>
      </c>
      <c r="R24" s="34">
        <v>15499.99999995936</v>
      </c>
      <c r="S24" s="53">
        <f>'Q4&amp;Q5'!H26</f>
        <v>275</v>
      </c>
      <c r="T24" s="35">
        <v>12958.131275186117</v>
      </c>
    </row>
    <row r="25" spans="3:20" ht="15" x14ac:dyDescent="0.2">
      <c r="C25" s="4">
        <f t="shared" si="2"/>
        <v>9</v>
      </c>
      <c r="D25" s="22">
        <f t="shared" si="6"/>
        <v>0</v>
      </c>
      <c r="E25" s="22">
        <f t="shared" si="7"/>
        <v>0</v>
      </c>
      <c r="F25" s="22">
        <f t="shared" si="9"/>
        <v>0</v>
      </c>
      <c r="G25" s="22">
        <f t="shared" si="8"/>
        <v>0.24009999999999992</v>
      </c>
      <c r="H25" s="22">
        <f t="shared" si="4"/>
        <v>0.75990000000000002</v>
      </c>
      <c r="I25" s="23" cm="1">
        <f t="array" ref="I25">SUMPRODUCT(D25:H25*$K$12:$O$12)</f>
        <v>1488.6199999999994</v>
      </c>
      <c r="J25" s="23">
        <f t="shared" si="5"/>
        <v>694.45221632781272</v>
      </c>
      <c r="K25" s="23">
        <f t="shared" si="3"/>
        <v>10430.088035400777</v>
      </c>
      <c r="M25" s="33" t="s">
        <v>34</v>
      </c>
      <c r="N25" s="31">
        <f>(N21*O21+N22*O22+N23*O23+N24*O24)/(SUM(O21:O25))</f>
        <v>20944.153501839268</v>
      </c>
      <c r="P25" s="26"/>
      <c r="Q25" s="33" t="s">
        <v>34</v>
      </c>
      <c r="R25" s="31">
        <f>(R21*S21+R22*S22+R23*S23+R24*S24)/(SUM(S21:S25))</f>
        <v>20390.867437557758</v>
      </c>
      <c r="T25" s="26"/>
    </row>
    <row r="26" spans="3:20" ht="14" thickBot="1" x14ac:dyDescent="0.2">
      <c r="C26" s="4">
        <f t="shared" si="2"/>
        <v>10</v>
      </c>
      <c r="D26" s="22">
        <f t="shared" si="6"/>
        <v>0</v>
      </c>
      <c r="E26" s="22">
        <f t="shared" si="7"/>
        <v>0</v>
      </c>
      <c r="F26" s="22">
        <f t="shared" si="9"/>
        <v>0</v>
      </c>
      <c r="G26" s="22">
        <f t="shared" si="8"/>
        <v>0.16806999999999994</v>
      </c>
      <c r="H26" s="22">
        <f t="shared" si="4"/>
        <v>0.83192999999999995</v>
      </c>
      <c r="I26" s="23" cm="1">
        <f t="array" ref="I26">SUMPRODUCT(D26:H26*$K$12:$O$12)</f>
        <v>1042.0339999999997</v>
      </c>
      <c r="J26" s="23">
        <f t="shared" si="5"/>
        <v>441.92413766315354</v>
      </c>
      <c r="K26" s="23">
        <f t="shared" si="3"/>
        <v>10872.012173063931</v>
      </c>
      <c r="L26" s="25"/>
      <c r="M26" s="32" t="s">
        <v>36</v>
      </c>
      <c r="N26" s="37">
        <f>(N21*O21+N22*O22+N23*O23+N24*O24)</f>
        <v>17872344.321569506</v>
      </c>
      <c r="O26" s="27"/>
      <c r="P26" s="67">
        <f>SUMPRODUCT(O21:O24,P21:P24)</f>
        <v>14962949.23388657</v>
      </c>
      <c r="Q26" s="32" t="s">
        <v>36</v>
      </c>
      <c r="R26" s="37">
        <f>(R21*S21+R22*S22+R23*S23+R24*S24)</f>
        <v>12275302.19740977</v>
      </c>
      <c r="S26" s="27"/>
      <c r="T26" s="67">
        <f>SUMPRODUCT(S21:S24,T21:T24)</f>
        <v>10547083.505225051</v>
      </c>
    </row>
    <row r="27" spans="3:20" ht="14" thickBot="1" x14ac:dyDescent="0.2">
      <c r="C27" s="4">
        <f t="shared" si="2"/>
        <v>11</v>
      </c>
      <c r="D27" s="22">
        <f t="shared" si="6"/>
        <v>0</v>
      </c>
      <c r="E27" s="22">
        <f t="shared" si="7"/>
        <v>0</v>
      </c>
      <c r="F27" s="22">
        <f t="shared" si="9"/>
        <v>0</v>
      </c>
      <c r="G27" s="22">
        <f t="shared" si="8"/>
        <v>0.11764899999999995</v>
      </c>
      <c r="H27" s="22">
        <f t="shared" si="4"/>
        <v>0.88235099999999989</v>
      </c>
      <c r="I27" s="23" cm="1">
        <f t="array" ref="I27">SUMPRODUCT(D27:H27*$K$12:$O$12)</f>
        <v>729.42379999999969</v>
      </c>
      <c r="J27" s="23">
        <f t="shared" si="5"/>
        <v>281.22445124018856</v>
      </c>
      <c r="K27" s="23">
        <f t="shared" si="3"/>
        <v>11153.23662430412</v>
      </c>
      <c r="M27" s="9"/>
      <c r="N27" s="22"/>
    </row>
    <row r="28" spans="3:20" x14ac:dyDescent="0.15">
      <c r="C28" s="4">
        <f t="shared" si="2"/>
        <v>12</v>
      </c>
      <c r="D28" s="22">
        <f t="shared" si="6"/>
        <v>0</v>
      </c>
      <c r="E28" s="22">
        <f t="shared" si="7"/>
        <v>0</v>
      </c>
      <c r="F28" s="22">
        <f t="shared" si="9"/>
        <v>0</v>
      </c>
      <c r="G28" s="22">
        <f t="shared" si="8"/>
        <v>8.2354299999999964E-2</v>
      </c>
      <c r="H28" s="22">
        <f t="shared" si="4"/>
        <v>0.9176456999999999</v>
      </c>
      <c r="I28" s="23" cm="1">
        <f t="array" ref="I28">SUMPRODUCT(D28:H28*$K$12:$O$12)</f>
        <v>510.59665999999976</v>
      </c>
      <c r="J28" s="23">
        <f t="shared" si="5"/>
        <v>178.96101442557449</v>
      </c>
      <c r="K28" s="23">
        <f t="shared" si="3"/>
        <v>11332.197638729695</v>
      </c>
      <c r="L28" s="25"/>
      <c r="M28" s="30" t="s">
        <v>124</v>
      </c>
      <c r="N28" s="6" t="s">
        <v>117</v>
      </c>
      <c r="O28" s="6" t="s">
        <v>118</v>
      </c>
      <c r="P28" s="7" t="s">
        <v>119</v>
      </c>
      <c r="Q28" s="30" t="s">
        <v>125</v>
      </c>
      <c r="R28" s="6" t="s">
        <v>117</v>
      </c>
      <c r="S28" s="6" t="s">
        <v>118</v>
      </c>
      <c r="T28" s="7" t="s">
        <v>119</v>
      </c>
    </row>
    <row r="29" spans="3:20" ht="54.5" customHeight="1" x14ac:dyDescent="0.15">
      <c r="C29" s="4">
        <f t="shared" si="2"/>
        <v>13</v>
      </c>
      <c r="D29" s="22">
        <f t="shared" si="6"/>
        <v>0</v>
      </c>
      <c r="E29" s="22">
        <f t="shared" si="7"/>
        <v>0</v>
      </c>
      <c r="F29" s="22">
        <f t="shared" si="9"/>
        <v>0</v>
      </c>
      <c r="G29" s="22">
        <f t="shared" si="8"/>
        <v>5.7648009999999972E-2</v>
      </c>
      <c r="H29" s="22">
        <f t="shared" si="4"/>
        <v>0.94235198999999992</v>
      </c>
      <c r="I29" s="23" cm="1">
        <f t="array" ref="I29">SUMPRODUCT(D29:H29*$K$12:$O$12)</f>
        <v>357.41766199999984</v>
      </c>
      <c r="J29" s="23">
        <f t="shared" si="5"/>
        <v>113.88428190718378</v>
      </c>
      <c r="K29" s="23">
        <f t="shared" si="3"/>
        <v>11446.081920636878</v>
      </c>
      <c r="M29" s="11" t="s">
        <v>6</v>
      </c>
      <c r="N29" s="34">
        <v>110979.92915238388</v>
      </c>
      <c r="O29" s="4">
        <v>0</v>
      </c>
      <c r="P29" s="35">
        <v>89129.840857864881</v>
      </c>
      <c r="Q29" s="11" t="s">
        <v>6</v>
      </c>
      <c r="R29" s="34">
        <v>110979.92915238388</v>
      </c>
      <c r="S29" s="4">
        <v>0</v>
      </c>
      <c r="T29" s="35">
        <v>89129.840857864881</v>
      </c>
    </row>
    <row r="30" spans="3:20" ht="14" x14ac:dyDescent="0.15">
      <c r="C30" s="4">
        <f t="shared" si="2"/>
        <v>14</v>
      </c>
      <c r="D30" s="22">
        <f t="shared" si="6"/>
        <v>0</v>
      </c>
      <c r="E30" s="22">
        <f t="shared" si="7"/>
        <v>0</v>
      </c>
      <c r="F30" s="22">
        <f t="shared" si="9"/>
        <v>0</v>
      </c>
      <c r="G30" s="22">
        <f t="shared" si="8"/>
        <v>4.0353606999999979E-2</v>
      </c>
      <c r="H30" s="22">
        <f t="shared" si="4"/>
        <v>0.95964639299999988</v>
      </c>
      <c r="I30" s="23" cm="1">
        <f t="array" ref="I30">SUMPRODUCT(D30:H30*$K$12:$O$12)</f>
        <v>250.19236339999986</v>
      </c>
      <c r="J30" s="23">
        <f t="shared" si="5"/>
        <v>72.47181575911695</v>
      </c>
      <c r="K30" s="23">
        <f t="shared" si="3"/>
        <v>11518.553736395996</v>
      </c>
      <c r="L30" s="25"/>
      <c r="M30" s="11" t="s">
        <v>8</v>
      </c>
      <c r="N30" s="34">
        <v>83116.883098156104</v>
      </c>
      <c r="O30" s="53">
        <f>'Q4&amp;Q5'!G17</f>
        <v>80</v>
      </c>
      <c r="P30" s="35">
        <v>56772.078409944661</v>
      </c>
      <c r="Q30" s="11" t="s">
        <v>8</v>
      </c>
      <c r="R30" s="34">
        <v>83116.883098156104</v>
      </c>
      <c r="S30" s="53">
        <f>'Q4&amp;Q5'!H17</f>
        <v>31.5</v>
      </c>
      <c r="T30" s="35">
        <v>56772.078409944661</v>
      </c>
    </row>
    <row r="31" spans="3:20" ht="14" x14ac:dyDescent="0.15">
      <c r="C31" s="4">
        <f t="shared" si="2"/>
        <v>15</v>
      </c>
      <c r="D31" s="22">
        <f t="shared" si="6"/>
        <v>0</v>
      </c>
      <c r="E31" s="22">
        <f t="shared" si="7"/>
        <v>0</v>
      </c>
      <c r="F31" s="22">
        <f t="shared" si="9"/>
        <v>0</v>
      </c>
      <c r="G31" s="22">
        <f t="shared" si="8"/>
        <v>2.8247524899999984E-2</v>
      </c>
      <c r="H31" s="22">
        <f t="shared" si="4"/>
        <v>0.97175247509999985</v>
      </c>
      <c r="I31" s="23" cm="1">
        <f t="array" ref="I31">SUMPRODUCT(D31:H31*$K$12:$O$12)</f>
        <v>175.13465437999989</v>
      </c>
      <c r="J31" s="23">
        <f t="shared" si="5"/>
        <v>46.118428210347133</v>
      </c>
      <c r="K31" s="23">
        <f t="shared" si="3"/>
        <v>11564.672164606343</v>
      </c>
      <c r="M31" s="11" t="s">
        <v>11</v>
      </c>
      <c r="N31" s="34">
        <v>16800.699300689615</v>
      </c>
      <c r="O31" s="55">
        <f>'Q4&amp;Q5'!G22</f>
        <v>400</v>
      </c>
      <c r="P31" s="35">
        <v>14076.934635612321</v>
      </c>
      <c r="Q31" s="11" t="s">
        <v>11</v>
      </c>
      <c r="R31" s="34">
        <v>16800.699300689615</v>
      </c>
      <c r="S31" s="55">
        <f>'Q4&amp;Q5'!H22</f>
        <v>500</v>
      </c>
      <c r="T31" s="35">
        <v>14076.934635612321</v>
      </c>
    </row>
    <row r="32" spans="3:20" ht="14" x14ac:dyDescent="0.15">
      <c r="C32" s="4">
        <f t="shared" si="2"/>
        <v>16</v>
      </c>
      <c r="D32" s="22">
        <f t="shared" si="6"/>
        <v>0</v>
      </c>
      <c r="E32" s="22">
        <f t="shared" si="7"/>
        <v>0</v>
      </c>
      <c r="F32" s="22">
        <f t="shared" si="9"/>
        <v>0</v>
      </c>
      <c r="G32" s="22">
        <f t="shared" si="8"/>
        <v>1.9773267429999988E-2</v>
      </c>
      <c r="H32" s="22">
        <f t="shared" si="4"/>
        <v>0.98022673256999981</v>
      </c>
      <c r="I32" s="23" cm="1">
        <f t="array" ref="I32">SUMPRODUCT(D32:H32*$K$12:$O$12)</f>
        <v>122.59425806599992</v>
      </c>
      <c r="J32" s="23">
        <f t="shared" si="5"/>
        <v>29.348090679311813</v>
      </c>
      <c r="K32" s="23">
        <f t="shared" si="3"/>
        <v>11594.020255285655</v>
      </c>
      <c r="M32" s="11" t="s">
        <v>13</v>
      </c>
      <c r="N32" s="34">
        <v>14090.909090851033</v>
      </c>
      <c r="O32" s="53">
        <f>'Q4&amp;Q5'!G27</f>
        <v>1000</v>
      </c>
      <c r="P32" s="35">
        <v>10459.66805546069</v>
      </c>
      <c r="Q32" s="11" t="s">
        <v>13</v>
      </c>
      <c r="R32" s="34">
        <v>14090.909090851033</v>
      </c>
      <c r="S32" s="53">
        <f>'Q4&amp;Q5'!H27</f>
        <v>366.66666666666669</v>
      </c>
      <c r="T32" s="35">
        <v>10459.66805546069</v>
      </c>
    </row>
    <row r="33" spans="3:20" ht="15" customHeight="1" x14ac:dyDescent="0.2">
      <c r="C33" s="4">
        <f t="shared" si="2"/>
        <v>17</v>
      </c>
      <c r="D33" s="22">
        <f t="shared" si="6"/>
        <v>0</v>
      </c>
      <c r="E33" s="22">
        <f t="shared" si="7"/>
        <v>0</v>
      </c>
      <c r="F33" s="22">
        <f t="shared" si="9"/>
        <v>0</v>
      </c>
      <c r="G33" s="22">
        <f t="shared" si="8"/>
        <v>1.384128720099999E-2</v>
      </c>
      <c r="H33" s="22">
        <f t="shared" si="4"/>
        <v>0.9861587127989998</v>
      </c>
      <c r="I33" s="23" cm="1">
        <f t="array" ref="I33">SUMPRODUCT(D33:H33*$K$12:$O$12)</f>
        <v>85.815980646199932</v>
      </c>
      <c r="J33" s="23">
        <f t="shared" si="5"/>
        <v>18.676057705016603</v>
      </c>
      <c r="K33" s="23">
        <f t="shared" si="3"/>
        <v>11612.696312990673</v>
      </c>
      <c r="L33" s="28"/>
      <c r="M33" s="33" t="s">
        <v>34</v>
      </c>
      <c r="N33" s="31">
        <f>(N29*O29+N30*O30+N31*O31+N32*O32)/(SUM(O29:O33))</f>
        <v>18554.418553364438</v>
      </c>
      <c r="P33" s="26"/>
      <c r="Q33" s="33" t="s">
        <v>34</v>
      </c>
      <c r="R33" s="31">
        <f>(R29*S29+R30*S30+R31*S31+R32*S32)/(SUM(S29:S33))</f>
        <v>18020.261422804342</v>
      </c>
      <c r="T33" s="26"/>
    </row>
    <row r="34" spans="3:20" ht="14" thickBot="1" x14ac:dyDescent="0.2">
      <c r="C34" s="4">
        <f t="shared" si="2"/>
        <v>18</v>
      </c>
      <c r="D34" s="22">
        <f t="shared" si="6"/>
        <v>0</v>
      </c>
      <c r="E34" s="22">
        <f t="shared" si="7"/>
        <v>0</v>
      </c>
      <c r="F34" s="22">
        <f t="shared" si="9"/>
        <v>0</v>
      </c>
      <c r="G34" s="22">
        <f t="shared" si="8"/>
        <v>9.6889010406999918E-3</v>
      </c>
      <c r="H34" s="22">
        <f t="shared" si="4"/>
        <v>0.99031109895929981</v>
      </c>
      <c r="I34" s="23" cm="1">
        <f t="array" ref="I34">SUMPRODUCT(D34:H34*$K$12:$O$12)</f>
        <v>60.071186452339951</v>
      </c>
      <c r="J34" s="23">
        <f t="shared" si="5"/>
        <v>11.884763994101474</v>
      </c>
      <c r="K34" s="23">
        <f t="shared" si="3"/>
        <v>11624.581076984774</v>
      </c>
      <c r="L34" s="25"/>
      <c r="M34" s="32" t="s">
        <v>36</v>
      </c>
      <c r="N34" s="37">
        <f>(N29*O29+N30*O30+N31*O31+N32*O32)</f>
        <v>27460539.458979368</v>
      </c>
      <c r="O34" s="27"/>
      <c r="P34" s="67">
        <f>SUMPRODUCT(O29:O32,P29:P32)</f>
        <v>20632208.182501189</v>
      </c>
      <c r="Q34" s="32" t="s">
        <v>36</v>
      </c>
      <c r="R34" s="37">
        <f>(R29*S29+R30*S30+R31*S31+R32*S32)</f>
        <v>16185198.134582102</v>
      </c>
      <c r="S34" s="27"/>
      <c r="T34" s="67">
        <f>SUMPRODUCT(S29:S32,T29:T32)</f>
        <v>12661999.408055004</v>
      </c>
    </row>
    <row r="35" spans="3:20" ht="14" thickBot="1" x14ac:dyDescent="0.2">
      <c r="C35" s="4">
        <f t="shared" si="2"/>
        <v>19</v>
      </c>
      <c r="D35" s="22">
        <f t="shared" si="6"/>
        <v>0</v>
      </c>
      <c r="E35" s="22">
        <f t="shared" si="7"/>
        <v>0</v>
      </c>
      <c r="F35" s="22">
        <f t="shared" si="9"/>
        <v>0</v>
      </c>
      <c r="G35" s="22">
        <f t="shared" si="8"/>
        <v>6.7822307284899942E-3</v>
      </c>
      <c r="H35" s="22">
        <f t="shared" si="4"/>
        <v>0.99321776927150984</v>
      </c>
      <c r="I35" s="23" cm="1">
        <f t="array" ref="I35">SUMPRODUCT(D35:H35*$K$12:$O$12)</f>
        <v>42.049830516637961</v>
      </c>
      <c r="J35" s="23">
        <f t="shared" si="5"/>
        <v>7.563031632610028</v>
      </c>
      <c r="K35" s="23">
        <f t="shared" si="3"/>
        <v>11632.144108617384</v>
      </c>
      <c r="M35" s="11"/>
      <c r="N35" s="26"/>
      <c r="O35" s="51"/>
    </row>
    <row r="36" spans="3:20" x14ac:dyDescent="0.15">
      <c r="C36" s="4">
        <f t="shared" si="2"/>
        <v>20</v>
      </c>
      <c r="D36" s="22">
        <f t="shared" si="6"/>
        <v>0</v>
      </c>
      <c r="E36" s="22">
        <f t="shared" si="7"/>
        <v>0</v>
      </c>
      <c r="F36" s="22">
        <f t="shared" si="9"/>
        <v>0</v>
      </c>
      <c r="G36" s="22">
        <f t="shared" si="8"/>
        <v>4.7475615099429958E-3</v>
      </c>
      <c r="H36" s="22">
        <f t="shared" si="4"/>
        <v>0.99525243849005685</v>
      </c>
      <c r="I36" s="23" cm="1">
        <f t="array" ref="I36">SUMPRODUCT(D36:H36*$K$12:$O$12)</f>
        <v>29.434881361646575</v>
      </c>
      <c r="J36" s="23">
        <f t="shared" si="5"/>
        <v>4.8128383116609257</v>
      </c>
      <c r="K36" s="23">
        <f t="shared" si="3"/>
        <v>11636.956946929044</v>
      </c>
      <c r="M36" s="30" t="s">
        <v>126</v>
      </c>
      <c r="N36" s="6" t="s">
        <v>117</v>
      </c>
      <c r="O36" s="6" t="s">
        <v>118</v>
      </c>
      <c r="P36" s="7" t="s">
        <v>119</v>
      </c>
      <c r="Q36" s="30" t="s">
        <v>127</v>
      </c>
      <c r="R36" s="6" t="s">
        <v>117</v>
      </c>
      <c r="S36" s="6" t="s">
        <v>118</v>
      </c>
      <c r="T36" s="7" t="s">
        <v>119</v>
      </c>
    </row>
    <row r="37" spans="3:20" ht="14" x14ac:dyDescent="0.15">
      <c r="C37" s="4">
        <f t="shared" si="2"/>
        <v>21</v>
      </c>
      <c r="D37" s="22">
        <f t="shared" si="6"/>
        <v>0</v>
      </c>
      <c r="E37" s="22">
        <f t="shared" si="7"/>
        <v>0</v>
      </c>
      <c r="F37" s="22">
        <f t="shared" si="9"/>
        <v>0</v>
      </c>
      <c r="G37" s="22">
        <f t="shared" si="8"/>
        <v>3.323293056960097E-3</v>
      </c>
      <c r="H37" s="22">
        <f t="shared" si="4"/>
        <v>0.99667670694303978</v>
      </c>
      <c r="I37" s="23" cm="1">
        <f t="array" ref="I37">SUMPRODUCT(D37:H37*$K$12:$O$12)</f>
        <v>20.604416953152601</v>
      </c>
      <c r="J37" s="23">
        <f t="shared" si="5"/>
        <v>3.062715289238771</v>
      </c>
      <c r="K37" s="23">
        <f t="shared" si="3"/>
        <v>11640.019662218283</v>
      </c>
      <c r="M37" s="11" t="s">
        <v>6</v>
      </c>
      <c r="N37" s="34">
        <v>100890.84468001293</v>
      </c>
      <c r="O37" s="4">
        <v>0</v>
      </c>
      <c r="P37" s="35">
        <v>67550.030735605469</v>
      </c>
      <c r="Q37" s="11" t="s">
        <v>6</v>
      </c>
      <c r="R37" s="34">
        <v>100890.84468001293</v>
      </c>
      <c r="S37" s="4">
        <v>0</v>
      </c>
      <c r="T37" s="35">
        <v>67550.030735605469</v>
      </c>
    </row>
    <row r="38" spans="3:20" ht="14" x14ac:dyDescent="0.15">
      <c r="C38" s="4">
        <f t="shared" si="2"/>
        <v>22</v>
      </c>
      <c r="D38" s="22">
        <f t="shared" si="6"/>
        <v>0</v>
      </c>
      <c r="E38" s="22">
        <f t="shared" si="7"/>
        <v>0</v>
      </c>
      <c r="F38" s="22">
        <f t="shared" si="9"/>
        <v>0</v>
      </c>
      <c r="G38" s="22">
        <f t="shared" si="8"/>
        <v>2.3263051398720678E-3</v>
      </c>
      <c r="H38" s="22">
        <f t="shared" si="4"/>
        <v>0.9976736948601278</v>
      </c>
      <c r="I38" s="23" cm="1">
        <f t="array" ref="I38">SUMPRODUCT(D38:H38*$K$12:$O$12)</f>
        <v>14.42309186720682</v>
      </c>
      <c r="J38" s="23">
        <f t="shared" si="5"/>
        <v>1.9490006386064904</v>
      </c>
      <c r="K38" s="23">
        <f t="shared" si="3"/>
        <v>11641.968662856889</v>
      </c>
      <c r="M38" s="11" t="s">
        <v>8</v>
      </c>
      <c r="N38" s="34">
        <v>75560.80280856078</v>
      </c>
      <c r="O38" s="53">
        <f>'Q4&amp;Q5'!G18</f>
        <v>106.66666666666666</v>
      </c>
      <c r="P38" s="35">
        <v>40434.39655761217</v>
      </c>
      <c r="Q38" s="11" t="s">
        <v>8</v>
      </c>
      <c r="R38" s="34">
        <v>75560.80280856078</v>
      </c>
      <c r="S38" s="53">
        <f>'Q4&amp;Q5'!H18</f>
        <v>36</v>
      </c>
      <c r="T38" s="35">
        <v>40434.39655761217</v>
      </c>
    </row>
    <row r="39" spans="3:20" ht="14" x14ac:dyDescent="0.15">
      <c r="C39" s="4">
        <f t="shared" si="2"/>
        <v>23</v>
      </c>
      <c r="D39" s="22">
        <f t="shared" si="6"/>
        <v>0</v>
      </c>
      <c r="E39" s="22">
        <f t="shared" si="7"/>
        <v>0</v>
      </c>
      <c r="F39" s="22">
        <f t="shared" si="9"/>
        <v>0</v>
      </c>
      <c r="G39" s="22">
        <f t="shared" si="8"/>
        <v>1.6284135979104473E-3</v>
      </c>
      <c r="H39" s="22">
        <f t="shared" si="4"/>
        <v>0.99837158640208945</v>
      </c>
      <c r="I39" s="23" cm="1">
        <f t="array" ref="I39">SUMPRODUCT(D39:H39*$K$12:$O$12)</f>
        <v>10.096164307044774</v>
      </c>
      <c r="J39" s="23">
        <f t="shared" si="5"/>
        <v>1.2402731336586754</v>
      </c>
      <c r="K39" s="23">
        <f t="shared" si="3"/>
        <v>11643.208935990548</v>
      </c>
      <c r="M39" s="11" t="s">
        <v>11</v>
      </c>
      <c r="N39" s="34">
        <v>15273.363000621894</v>
      </c>
      <c r="O39" s="55">
        <f>'Q4&amp;Q5'!G23</f>
        <v>600</v>
      </c>
      <c r="P39" s="35">
        <v>10756.095895089129</v>
      </c>
      <c r="Q39" s="11" t="s">
        <v>11</v>
      </c>
      <c r="R39" s="34">
        <v>15273.363000621894</v>
      </c>
      <c r="S39" s="55">
        <f>'Q4&amp;Q5'!H23</f>
        <v>699.99999999999989</v>
      </c>
      <c r="T39" s="35">
        <v>10756.095895089129</v>
      </c>
    </row>
    <row r="40" spans="3:20" ht="14" x14ac:dyDescent="0.15">
      <c r="C40" s="4">
        <f t="shared" si="2"/>
        <v>24</v>
      </c>
      <c r="D40" s="22">
        <f t="shared" si="6"/>
        <v>0</v>
      </c>
      <c r="E40" s="22">
        <f t="shared" si="7"/>
        <v>0</v>
      </c>
      <c r="F40" s="22">
        <f t="shared" si="9"/>
        <v>0</v>
      </c>
      <c r="G40" s="22">
        <f t="shared" si="8"/>
        <v>1.139889518537313E-3</v>
      </c>
      <c r="H40" s="22">
        <f t="shared" si="4"/>
        <v>0.99886011048146262</v>
      </c>
      <c r="I40" s="23" cm="1">
        <f t="array" ref="I40">SUMPRODUCT(D40:H40*$K$12:$O$12)</f>
        <v>7.0673150149313404</v>
      </c>
      <c r="J40" s="23">
        <f t="shared" si="5"/>
        <v>0.78926472141915693</v>
      </c>
      <c r="K40" s="23">
        <f t="shared" si="3"/>
        <v>11643.998200711967</v>
      </c>
      <c r="M40" s="11" t="s">
        <v>13</v>
      </c>
      <c r="N40" s="34">
        <v>12809.917355288959</v>
      </c>
      <c r="O40" s="53">
        <f>'Q4&amp;Q5'!G28</f>
        <v>1400</v>
      </c>
      <c r="P40" s="35">
        <v>7622.4301618741865</v>
      </c>
      <c r="Q40" s="11" t="s">
        <v>13</v>
      </c>
      <c r="R40" s="34">
        <v>12809.917355288959</v>
      </c>
      <c r="S40" s="53">
        <f>'Q4&amp;Q5'!H28</f>
        <v>458.33333333333337</v>
      </c>
      <c r="T40" s="35">
        <v>7622.4301618741865</v>
      </c>
    </row>
    <row r="41" spans="3:20" ht="15" x14ac:dyDescent="0.2">
      <c r="C41" s="4">
        <f t="shared" si="2"/>
        <v>25</v>
      </c>
      <c r="D41" s="22">
        <f t="shared" si="6"/>
        <v>0</v>
      </c>
      <c r="E41" s="22">
        <f t="shared" si="7"/>
        <v>0</v>
      </c>
      <c r="F41" s="22">
        <f t="shared" si="9"/>
        <v>0</v>
      </c>
      <c r="G41" s="22">
        <f t="shared" si="8"/>
        <v>7.9792266297611905E-4</v>
      </c>
      <c r="H41" s="22">
        <f t="shared" si="4"/>
        <v>0.99920207733702382</v>
      </c>
      <c r="I41" s="23" cm="1">
        <f t="array" ref="I41">SUMPRODUCT(D41:H41*$K$12:$O$12)</f>
        <v>4.9471205104519385</v>
      </c>
      <c r="J41" s="23">
        <f t="shared" si="5"/>
        <v>0.50225936817582728</v>
      </c>
      <c r="K41" s="23">
        <f t="shared" si="3"/>
        <v>11644.500460080142</v>
      </c>
      <c r="M41" s="33" t="s">
        <v>34</v>
      </c>
      <c r="N41" s="31">
        <f>(N37*O37+N38*O38+N39*O39+N40*O40)/(SUM(O37:O41))</f>
        <v>16688.791644315268</v>
      </c>
      <c r="P41" s="26"/>
      <c r="Q41" s="33" t="s">
        <v>34</v>
      </c>
      <c r="R41" s="31">
        <f>(R37*S37+R38*S38+R39*S39+R40*S40)/(SUM(S37:S41))</f>
        <v>16145.203842632671</v>
      </c>
      <c r="T41" s="26"/>
    </row>
    <row r="42" spans="3:20" ht="24.5" customHeight="1" thickBot="1" x14ac:dyDescent="0.2">
      <c r="C42" s="4">
        <f t="shared" si="2"/>
        <v>26</v>
      </c>
      <c r="D42" s="22">
        <f t="shared" si="6"/>
        <v>0</v>
      </c>
      <c r="E42" s="22">
        <f t="shared" si="7"/>
        <v>0</v>
      </c>
      <c r="F42" s="22">
        <f t="shared" si="9"/>
        <v>0</v>
      </c>
      <c r="G42" s="22">
        <f t="shared" si="8"/>
        <v>5.5854586408328325E-4</v>
      </c>
      <c r="H42" s="22">
        <f t="shared" si="4"/>
        <v>0.99944145413591667</v>
      </c>
      <c r="I42" s="23" cm="1">
        <f t="array" ref="I42">SUMPRODUCT(D42:H42*$K$12:$O$12)</f>
        <v>3.4629843573163561</v>
      </c>
      <c r="J42" s="23">
        <f t="shared" si="5"/>
        <v>0.31961959793007172</v>
      </c>
      <c r="K42" s="23">
        <f t="shared" si="3"/>
        <v>11644.820079678073</v>
      </c>
      <c r="M42" s="32" t="s">
        <v>36</v>
      </c>
      <c r="N42" s="37">
        <f>(N37*O37+N38*O38+N39*O39+N40*O40)</f>
        <v>35157721.064024165</v>
      </c>
      <c r="O42" s="27"/>
      <c r="P42" s="67">
        <f>SUMPRODUCT(O37:O40,P37:P40)</f>
        <v>21438062.063155971</v>
      </c>
      <c r="Q42" s="32" t="s">
        <v>36</v>
      </c>
      <c r="R42" s="37">
        <f>(R37*S37+R38*S38+R39*S39+R40*S40)</f>
        <v>19282755.122717619</v>
      </c>
      <c r="S42" s="27"/>
      <c r="T42" s="67">
        <f>SUMPRODUCT(S37:S40,T37:T40)</f>
        <v>12478519.226828763</v>
      </c>
    </row>
    <row r="43" spans="3:20" ht="14" thickBot="1" x14ac:dyDescent="0.2">
      <c r="C43" s="4">
        <f t="shared" si="2"/>
        <v>27</v>
      </c>
      <c r="D43" s="22">
        <f t="shared" si="6"/>
        <v>0</v>
      </c>
      <c r="E43" s="22">
        <f t="shared" si="7"/>
        <v>0</v>
      </c>
      <c r="F43" s="22">
        <f t="shared" si="9"/>
        <v>0</v>
      </c>
      <c r="G43" s="22">
        <f t="shared" si="8"/>
        <v>3.9098210485829826E-4</v>
      </c>
      <c r="H43" s="22">
        <f t="shared" si="4"/>
        <v>0.99960901789514167</v>
      </c>
      <c r="I43" s="23" cm="1">
        <f t="array" ref="I43">SUMPRODUCT(D43:H43*$K$12:$O$12)</f>
        <v>2.4240890501214492</v>
      </c>
      <c r="J43" s="23">
        <f t="shared" si="5"/>
        <v>0.20339428959186381</v>
      </c>
      <c r="K43" s="23">
        <f t="shared" si="3"/>
        <v>11645.023473967665</v>
      </c>
    </row>
    <row r="44" spans="3:20" x14ac:dyDescent="0.15">
      <c r="C44" s="4">
        <f t="shared" si="2"/>
        <v>28</v>
      </c>
      <c r="D44" s="22">
        <f t="shared" si="6"/>
        <v>0</v>
      </c>
      <c r="E44" s="22">
        <f t="shared" si="7"/>
        <v>0</v>
      </c>
      <c r="F44" s="22">
        <f t="shared" si="9"/>
        <v>0</v>
      </c>
      <c r="G44" s="22">
        <f t="shared" si="8"/>
        <v>2.7368747340080879E-4</v>
      </c>
      <c r="H44" s="22">
        <f t="shared" si="4"/>
        <v>0.99972631252659916</v>
      </c>
      <c r="I44" s="23" cm="1">
        <f t="array" ref="I44">SUMPRODUCT(D44:H44*$K$12:$O$12)</f>
        <v>1.6968623350850145</v>
      </c>
      <c r="J44" s="23">
        <f t="shared" si="5"/>
        <v>0.12943272974027695</v>
      </c>
      <c r="K44" s="23">
        <f t="shared" si="3"/>
        <v>11645.152906697405</v>
      </c>
      <c r="M44" s="30" t="s">
        <v>128</v>
      </c>
      <c r="N44" s="6" t="s">
        <v>117</v>
      </c>
      <c r="O44" s="6" t="s">
        <v>118</v>
      </c>
      <c r="P44" s="7" t="s">
        <v>119</v>
      </c>
      <c r="Q44" s="30" t="s">
        <v>129</v>
      </c>
      <c r="R44" s="6" t="s">
        <v>117</v>
      </c>
      <c r="S44" s="6" t="s">
        <v>118</v>
      </c>
      <c r="T44" s="7" t="s">
        <v>119</v>
      </c>
    </row>
    <row r="45" spans="3:20" ht="14" x14ac:dyDescent="0.15">
      <c r="C45" s="4">
        <f t="shared" si="2"/>
        <v>29</v>
      </c>
      <c r="D45" s="22">
        <f t="shared" si="6"/>
        <v>0</v>
      </c>
      <c r="E45" s="22">
        <f t="shared" si="7"/>
        <v>0</v>
      </c>
      <c r="F45" s="22">
        <f t="shared" si="9"/>
        <v>0</v>
      </c>
      <c r="G45" s="22">
        <f t="shared" si="8"/>
        <v>1.9158123138056615E-4</v>
      </c>
      <c r="H45" s="22">
        <f t="shared" si="4"/>
        <v>0.99980841876861937</v>
      </c>
      <c r="I45" s="23" cm="1">
        <f t="array" ref="I45">SUMPRODUCT(D45:H45*$K$12:$O$12)</f>
        <v>1.1878036345595102</v>
      </c>
      <c r="J45" s="23">
        <f t="shared" si="5"/>
        <v>8.2366282561994436E-2</v>
      </c>
      <c r="K45" s="23">
        <f t="shared" si="3"/>
        <v>11645.235272979968</v>
      </c>
      <c r="M45" s="11" t="s">
        <v>6</v>
      </c>
      <c r="N45" s="34">
        <v>91718.949703806167</v>
      </c>
      <c r="O45" s="4">
        <v>0</v>
      </c>
      <c r="P45" s="35">
        <v>39614.780411174092</v>
      </c>
      <c r="Q45" s="11" t="s">
        <v>6</v>
      </c>
      <c r="R45" s="34">
        <v>122077.92207089944</v>
      </c>
      <c r="S45" s="4">
        <v>0</v>
      </c>
      <c r="T45" s="35">
        <v>107425.89304009287</v>
      </c>
    </row>
    <row r="46" spans="3:20" ht="14" x14ac:dyDescent="0.15">
      <c r="C46" s="4">
        <f t="shared" si="2"/>
        <v>30</v>
      </c>
      <c r="D46" s="22">
        <f t="shared" si="6"/>
        <v>0</v>
      </c>
      <c r="E46" s="22">
        <f t="shared" si="7"/>
        <v>0</v>
      </c>
      <c r="F46" s="22">
        <f t="shared" si="9"/>
        <v>0</v>
      </c>
      <c r="G46" s="22">
        <f t="shared" si="8"/>
        <v>1.3410686196639628E-4</v>
      </c>
      <c r="H46" s="22">
        <f t="shared" si="4"/>
        <v>0.99986589313803353</v>
      </c>
      <c r="I46" s="23" cm="1">
        <f t="array" ref="I46">SUMPRODUCT(D46:H46*$K$12:$O$12)</f>
        <v>0.83146254419165699</v>
      </c>
      <c r="J46" s="23">
        <f t="shared" si="5"/>
        <v>5.2414907084905538E-2</v>
      </c>
      <c r="K46" s="23">
        <f t="shared" si="3"/>
        <v>11645.287687887052</v>
      </c>
      <c r="M46" s="11" t="s">
        <v>8</v>
      </c>
      <c r="N46" s="34">
        <v>68691.638906280481</v>
      </c>
      <c r="O46" s="53">
        <f>'Q4&amp;Q5'!G19</f>
        <v>133.33333333333334</v>
      </c>
      <c r="P46" s="35">
        <v>21856.430571682256</v>
      </c>
      <c r="Q46" s="11" t="s">
        <v>8</v>
      </c>
      <c r="R46" s="34">
        <v>91428.571414526232</v>
      </c>
      <c r="S46" s="53">
        <f>'Q4&amp;Q5'!H19</f>
        <v>40.5</v>
      </c>
      <c r="T46" s="35">
        <v>71669.967898367599</v>
      </c>
    </row>
    <row r="47" spans="3:20" ht="14" x14ac:dyDescent="0.15">
      <c r="C47" s="4">
        <f t="shared" si="2"/>
        <v>31</v>
      </c>
      <c r="D47" s="22">
        <f t="shared" si="6"/>
        <v>0</v>
      </c>
      <c r="E47" s="22">
        <f t="shared" si="7"/>
        <v>0</v>
      </c>
      <c r="F47" s="22">
        <f t="shared" si="9"/>
        <v>0</v>
      </c>
      <c r="G47" s="22">
        <f t="shared" si="8"/>
        <v>9.3874803376477393E-5</v>
      </c>
      <c r="H47" s="22">
        <f t="shared" si="4"/>
        <v>0.99990612519662347</v>
      </c>
      <c r="I47" s="23" cm="1">
        <f t="array" ref="I47">SUMPRODUCT(D47:H47*$K$12:$O$12)</f>
        <v>0.58202378093415985</v>
      </c>
      <c r="J47" s="23">
        <f t="shared" si="5"/>
        <v>3.3354940872212607E-2</v>
      </c>
      <c r="K47" s="23">
        <f t="shared" si="3"/>
        <v>11645.321042827924</v>
      </c>
      <c r="M47" s="11" t="s">
        <v>11</v>
      </c>
      <c r="N47" s="34">
        <v>13884.875455103633</v>
      </c>
      <c r="O47" s="55">
        <f>'Q4&amp;Q5'!G24</f>
        <v>700</v>
      </c>
      <c r="P47" s="35">
        <v>6352.025134895156</v>
      </c>
      <c r="Q47" s="11" t="s">
        <v>11</v>
      </c>
      <c r="R47" s="34">
        <v>18480.769230762457</v>
      </c>
      <c r="S47" s="55">
        <f>'Q4&amp;Q5'!H24</f>
        <v>900</v>
      </c>
      <c r="T47" s="35">
        <v>16828.360904309811</v>
      </c>
    </row>
    <row r="48" spans="3:20" ht="14" x14ac:dyDescent="0.15">
      <c r="C48" s="4">
        <f t="shared" si="2"/>
        <v>32</v>
      </c>
      <c r="D48" s="22">
        <f t="shared" si="6"/>
        <v>0</v>
      </c>
      <c r="E48" s="22">
        <f t="shared" si="7"/>
        <v>0</v>
      </c>
      <c r="F48" s="22">
        <f t="shared" si="9"/>
        <v>0</v>
      </c>
      <c r="G48" s="22">
        <f t="shared" si="8"/>
        <v>6.5712362363534168E-5</v>
      </c>
      <c r="H48" s="22">
        <f t="shared" si="4"/>
        <v>0.99993428763763637</v>
      </c>
      <c r="I48" s="23" cm="1">
        <f t="array" ref="I48">SUMPRODUCT(D48:H48*$K$12:$O$12)</f>
        <v>0.40741664665391186</v>
      </c>
      <c r="J48" s="23">
        <f t="shared" si="5"/>
        <v>2.1225871464135293E-2</v>
      </c>
      <c r="K48" s="23">
        <f t="shared" si="3"/>
        <v>11645.342268699387</v>
      </c>
      <c r="M48" s="11" t="s">
        <v>13</v>
      </c>
      <c r="N48" s="34">
        <v>11645.379413855968</v>
      </c>
      <c r="O48" s="53">
        <f>'Q4&amp;Q5'!G29</f>
        <v>1800</v>
      </c>
      <c r="P48" s="35">
        <v>4234.6834232634374</v>
      </c>
      <c r="Q48" s="11" t="s">
        <v>13</v>
      </c>
      <c r="R48" s="34">
        <v>15499.99999995936</v>
      </c>
      <c r="S48" s="53">
        <f>'Q4&amp;Q5'!H29</f>
        <v>550</v>
      </c>
      <c r="T48" s="35">
        <v>12958.131275186117</v>
      </c>
    </row>
    <row r="49" spans="3:20" ht="15" x14ac:dyDescent="0.2">
      <c r="C49" s="4">
        <f t="shared" si="2"/>
        <v>33</v>
      </c>
      <c r="D49" s="22">
        <f t="shared" si="6"/>
        <v>0</v>
      </c>
      <c r="E49" s="22">
        <f t="shared" si="7"/>
        <v>0</v>
      </c>
      <c r="F49" s="22">
        <f t="shared" si="9"/>
        <v>0</v>
      </c>
      <c r="G49" s="22">
        <f t="shared" si="8"/>
        <v>4.5998653654473914E-5</v>
      </c>
      <c r="H49" s="22">
        <f t="shared" si="4"/>
        <v>0.99995400134634538</v>
      </c>
      <c r="I49" s="23" cm="1">
        <f t="array" ref="I49">SUMPRODUCT(D49:H49*$K$12:$O$12)</f>
        <v>0.28519165265773827</v>
      </c>
      <c r="J49" s="23">
        <f t="shared" si="5"/>
        <v>1.3507372749904276E-2</v>
      </c>
      <c r="K49" s="23">
        <f t="shared" si="3"/>
        <v>11645.355776072138</v>
      </c>
      <c r="M49" s="33" t="s">
        <v>34</v>
      </c>
      <c r="N49" s="31">
        <f>(N45*O45+N46*O46+N47*O47+N48*O48)/(SUM(O45:O49))</f>
        <v>15129.106690259752</v>
      </c>
      <c r="P49" s="26"/>
      <c r="Q49" s="33" t="s">
        <v>34</v>
      </c>
      <c r="R49" s="31">
        <f>(R45*S45+R46*S46+R47*S47+R48*S48)/(SUM(S45:S49))</f>
        <v>19362.99862459052</v>
      </c>
      <c r="T49" s="26"/>
    </row>
    <row r="50" spans="3:20" ht="14" thickBot="1" x14ac:dyDescent="0.2">
      <c r="C50" s="4">
        <f t="shared" si="2"/>
        <v>34</v>
      </c>
      <c r="D50" s="22">
        <f t="shared" si="6"/>
        <v>0</v>
      </c>
      <c r="E50" s="22">
        <f t="shared" si="7"/>
        <v>0</v>
      </c>
      <c r="F50" s="22">
        <f t="shared" si="9"/>
        <v>0</v>
      </c>
      <c r="G50" s="22">
        <f t="shared" si="8"/>
        <v>3.2199057558131737E-5</v>
      </c>
      <c r="H50" s="22">
        <f t="shared" si="4"/>
        <v>0.99996780094244175</v>
      </c>
      <c r="I50" s="23" cm="1">
        <f t="array" ref="I50">SUMPRODUCT(D50:H50*$K$12:$O$12)</f>
        <v>0.19963415686041677</v>
      </c>
      <c r="J50" s="23">
        <f t="shared" si="5"/>
        <v>8.5956008408481742E-3</v>
      </c>
      <c r="K50" s="23">
        <f t="shared" si="3"/>
        <v>11645.364371672978</v>
      </c>
      <c r="M50" s="32" t="s">
        <v>36</v>
      </c>
      <c r="N50" s="37">
        <f>(N45*O45+N46*O46+N47*O47+N48*O48)</f>
        <v>39839980.95101735</v>
      </c>
      <c r="O50" s="27"/>
      <c r="P50" s="67">
        <f>SUMPRODUCT(O45:O48,P45:P48)</f>
        <v>14983038.499191765</v>
      </c>
      <c r="Q50" s="32" t="s">
        <v>36</v>
      </c>
      <c r="R50" s="37">
        <f>(R45*S45+R46*S46+R47*S47+R48*S48)</f>
        <v>28860549.44995217</v>
      </c>
      <c r="S50" s="27"/>
      <c r="T50" s="67">
        <f>SUMPRODUCT(S45:S48,T45:T48)</f>
        <v>25175130.715115085</v>
      </c>
    </row>
    <row r="51" spans="3:20" x14ac:dyDescent="0.15">
      <c r="C51" s="4">
        <f t="shared" si="2"/>
        <v>35</v>
      </c>
      <c r="D51" s="22">
        <f t="shared" si="6"/>
        <v>0</v>
      </c>
      <c r="E51" s="22">
        <f t="shared" si="7"/>
        <v>0</v>
      </c>
      <c r="F51" s="22">
        <f t="shared" si="9"/>
        <v>0</v>
      </c>
      <c r="G51" s="22">
        <f t="shared" si="8"/>
        <v>2.2539340290692216E-5</v>
      </c>
      <c r="H51" s="22">
        <f t="shared" si="4"/>
        <v>0.99997746065970916</v>
      </c>
      <c r="I51" s="23" cm="1">
        <f t="array" ref="I51">SUMPRODUCT(D51:H51*$K$12:$O$12)</f>
        <v>0.13974390980229173</v>
      </c>
      <c r="J51" s="23">
        <f t="shared" si="5"/>
        <v>5.4699278078124735E-3</v>
      </c>
      <c r="K51" s="23">
        <f t="shared" si="3"/>
        <v>11645.369841600786</v>
      </c>
    </row>
    <row r="52" spans="3:20" x14ac:dyDescent="0.15">
      <c r="C52" s="4">
        <f t="shared" si="2"/>
        <v>36</v>
      </c>
      <c r="D52" s="22">
        <f t="shared" si="6"/>
        <v>0</v>
      </c>
      <c r="E52" s="22">
        <f t="shared" si="7"/>
        <v>0</v>
      </c>
      <c r="F52" s="22">
        <f t="shared" si="9"/>
        <v>0</v>
      </c>
      <c r="G52" s="22">
        <f t="shared" si="8"/>
        <v>1.5777538203484551E-5</v>
      </c>
      <c r="H52" s="22">
        <f t="shared" si="4"/>
        <v>0.99998422246179641</v>
      </c>
      <c r="I52" s="23" cm="1">
        <f t="array" ref="I52">SUMPRODUCT(D52:H52*$K$12:$O$12)</f>
        <v>9.782073686160421E-2</v>
      </c>
      <c r="J52" s="23">
        <f t="shared" si="5"/>
        <v>3.4808631504261189E-3</v>
      </c>
      <c r="K52" s="23">
        <f t="shared" si="3"/>
        <v>11645.373322463936</v>
      </c>
    </row>
    <row r="53" spans="3:20" x14ac:dyDescent="0.15">
      <c r="C53" s="4">
        <f t="shared" si="2"/>
        <v>37</v>
      </c>
      <c r="D53" s="22">
        <f t="shared" si="6"/>
        <v>0</v>
      </c>
      <c r="E53" s="22">
        <f t="shared" si="7"/>
        <v>0</v>
      </c>
      <c r="F53" s="22">
        <f t="shared" si="9"/>
        <v>0</v>
      </c>
      <c r="G53" s="22">
        <f t="shared" si="8"/>
        <v>1.1044276742439186E-5</v>
      </c>
      <c r="H53" s="22">
        <f t="shared" si="4"/>
        <v>0.99998895572325741</v>
      </c>
      <c r="I53" s="23" cm="1">
        <f t="array" ref="I53">SUMPRODUCT(D53:H53*$K$12:$O$12)</f>
        <v>6.8474515803122957E-2</v>
      </c>
      <c r="J53" s="23">
        <f t="shared" si="5"/>
        <v>2.2150947320893487E-3</v>
      </c>
      <c r="K53" s="23">
        <f t="shared" si="3"/>
        <v>11645.375537558668</v>
      </c>
    </row>
    <row r="54" spans="3:20" x14ac:dyDescent="0.15">
      <c r="C54" s="4">
        <f t="shared" si="2"/>
        <v>38</v>
      </c>
      <c r="D54" s="22">
        <f t="shared" si="6"/>
        <v>0</v>
      </c>
      <c r="E54" s="22">
        <f t="shared" si="7"/>
        <v>0</v>
      </c>
      <c r="F54" s="22">
        <f t="shared" si="9"/>
        <v>0</v>
      </c>
      <c r="G54" s="22">
        <f t="shared" si="8"/>
        <v>7.7309937197074292E-6</v>
      </c>
      <c r="H54" s="22">
        <f t="shared" si="4"/>
        <v>0.99999226900628013</v>
      </c>
      <c r="I54" s="23" cm="1">
        <f t="array" ref="I54">SUMPRODUCT(D54:H54*$K$12:$O$12)</f>
        <v>4.7932161062186063E-2</v>
      </c>
      <c r="J54" s="23">
        <f t="shared" si="5"/>
        <v>1.4096057386023125E-3</v>
      </c>
      <c r="K54" s="23">
        <f t="shared" si="3"/>
        <v>11645.376947164406</v>
      </c>
    </row>
    <row r="55" spans="3:20" x14ac:dyDescent="0.15">
      <c r="C55" s="4">
        <f t="shared" si="2"/>
        <v>39</v>
      </c>
      <c r="D55" s="22">
        <f t="shared" si="6"/>
        <v>0</v>
      </c>
      <c r="E55" s="22">
        <f t="shared" si="7"/>
        <v>0</v>
      </c>
      <c r="F55" s="22">
        <f t="shared" si="9"/>
        <v>0</v>
      </c>
      <c r="G55" s="22">
        <f t="shared" si="8"/>
        <v>5.4116956037952001E-6</v>
      </c>
      <c r="H55" s="22">
        <f t="shared" si="4"/>
        <v>0.99999458830439603</v>
      </c>
      <c r="I55" s="23" cm="1">
        <f t="array" ref="I55">SUMPRODUCT(D55:H55*$K$12:$O$12)</f>
        <v>3.3552512743530237E-2</v>
      </c>
      <c r="J55" s="23">
        <f t="shared" si="5"/>
        <v>8.9702183365601674E-4</v>
      </c>
      <c r="K55" s="23">
        <f t="shared" si="3"/>
        <v>11645.37784418624</v>
      </c>
    </row>
    <row r="56" spans="3:20" x14ac:dyDescent="0.15">
      <c r="C56" s="4">
        <f t="shared" si="2"/>
        <v>40</v>
      </c>
      <c r="D56" s="22">
        <f t="shared" si="6"/>
        <v>0</v>
      </c>
      <c r="E56" s="22">
        <f t="shared" si="7"/>
        <v>0</v>
      </c>
      <c r="F56" s="22">
        <f t="shared" si="9"/>
        <v>0</v>
      </c>
      <c r="G56" s="22">
        <f t="shared" si="8"/>
        <v>3.7881869226566396E-6</v>
      </c>
      <c r="H56" s="22">
        <f t="shared" si="4"/>
        <v>0.99999621181307718</v>
      </c>
      <c r="I56" s="23" cm="1">
        <f t="array" ref="I56">SUMPRODUCT(D56:H56*$K$12:$O$12)</f>
        <v>2.3486758920471165E-2</v>
      </c>
      <c r="J56" s="23">
        <f t="shared" si="5"/>
        <v>5.7083207596291962E-4</v>
      </c>
      <c r="K56" s="23">
        <f t="shared" si="3"/>
        <v>11645.378415018316</v>
      </c>
    </row>
    <row r="57" spans="3:20" x14ac:dyDescent="0.15">
      <c r="C57" s="4">
        <f t="shared" si="2"/>
        <v>41</v>
      </c>
      <c r="D57" s="22">
        <f t="shared" si="6"/>
        <v>0</v>
      </c>
      <c r="E57" s="22">
        <f t="shared" si="7"/>
        <v>0</v>
      </c>
      <c r="F57" s="22">
        <f t="shared" si="9"/>
        <v>0</v>
      </c>
      <c r="G57" s="22">
        <f t="shared" si="8"/>
        <v>2.6517308458596477E-6</v>
      </c>
      <c r="H57" s="22">
        <f t="shared" si="4"/>
        <v>0.99999734826915399</v>
      </c>
      <c r="I57" s="23" cm="1">
        <f t="array" ref="I57">SUMPRODUCT(D57:H57*$K$12:$O$12)</f>
        <v>1.6440731244329817E-2</v>
      </c>
      <c r="J57" s="23">
        <f t="shared" si="5"/>
        <v>3.6325677561276711E-4</v>
      </c>
      <c r="K57" s="23">
        <f t="shared" si="3"/>
        <v>11645.378778275091</v>
      </c>
    </row>
    <row r="58" spans="3:20" x14ac:dyDescent="0.15">
      <c r="C58" s="4">
        <f t="shared" si="2"/>
        <v>42</v>
      </c>
      <c r="D58" s="22">
        <f t="shared" si="6"/>
        <v>0</v>
      </c>
      <c r="E58" s="22">
        <f t="shared" si="7"/>
        <v>0</v>
      </c>
      <c r="F58" s="22">
        <f t="shared" si="9"/>
        <v>0</v>
      </c>
      <c r="G58" s="22">
        <f t="shared" si="8"/>
        <v>1.8562115921017532E-6</v>
      </c>
      <c r="H58" s="22">
        <f t="shared" si="4"/>
        <v>0.99999814378840779</v>
      </c>
      <c r="I58" s="23" cm="1">
        <f t="array" ref="I58">SUMPRODUCT(D58:H58*$K$12:$O$12)</f>
        <v>1.150851187103087E-2</v>
      </c>
      <c r="J58" s="23">
        <f t="shared" si="5"/>
        <v>2.3116340266266994E-4</v>
      </c>
      <c r="K58" s="23">
        <f t="shared" si="3"/>
        <v>11645.379009438495</v>
      </c>
    </row>
    <row r="59" spans="3:20" x14ac:dyDescent="0.15">
      <c r="C59" s="4">
        <f t="shared" si="2"/>
        <v>43</v>
      </c>
      <c r="D59" s="22">
        <f t="shared" si="6"/>
        <v>0</v>
      </c>
      <c r="E59" s="22">
        <f t="shared" si="7"/>
        <v>0</v>
      </c>
      <c r="F59" s="22">
        <f t="shared" si="9"/>
        <v>0</v>
      </c>
      <c r="G59" s="22">
        <f t="shared" si="8"/>
        <v>1.2993481144712271E-6</v>
      </c>
      <c r="H59" s="22">
        <f t="shared" si="4"/>
        <v>0.99999870065188545</v>
      </c>
      <c r="I59" s="23" cm="1">
        <f t="array" ref="I59">SUMPRODUCT(D59:H59*$K$12:$O$12)</f>
        <v>8.055958309721608E-3</v>
      </c>
      <c r="J59" s="23">
        <f t="shared" si="5"/>
        <v>1.471039835126081E-4</v>
      </c>
      <c r="K59" s="23">
        <f t="shared" si="3"/>
        <v>11645.379156542478</v>
      </c>
    </row>
    <row r="60" spans="3:20" x14ac:dyDescent="0.15">
      <c r="C60" s="4">
        <f t="shared" si="2"/>
        <v>44</v>
      </c>
      <c r="D60" s="22">
        <f t="shared" si="6"/>
        <v>0</v>
      </c>
      <c r="E60" s="22">
        <f t="shared" si="7"/>
        <v>0</v>
      </c>
      <c r="F60" s="22">
        <f t="shared" si="9"/>
        <v>0</v>
      </c>
      <c r="G60" s="22">
        <f t="shared" si="8"/>
        <v>9.0954368012985892E-7</v>
      </c>
      <c r="H60" s="22">
        <f t="shared" si="4"/>
        <v>0.99999909045631974</v>
      </c>
      <c r="I60" s="23" cm="1">
        <f t="array" ref="I60">SUMPRODUCT(D60:H60*$K$12:$O$12)</f>
        <v>5.639170816805125E-3</v>
      </c>
      <c r="J60" s="23">
        <f t="shared" si="5"/>
        <v>9.3611625871659683E-5</v>
      </c>
      <c r="K60" s="23">
        <f t="shared" si="3"/>
        <v>11645.379250154105</v>
      </c>
    </row>
    <row r="61" spans="3:20" x14ac:dyDescent="0.15">
      <c r="C61" s="4">
        <f t="shared" si="2"/>
        <v>45</v>
      </c>
      <c r="D61" s="22">
        <f t="shared" si="6"/>
        <v>0</v>
      </c>
      <c r="E61" s="22">
        <f t="shared" si="7"/>
        <v>0</v>
      </c>
      <c r="F61" s="22">
        <f t="shared" si="9"/>
        <v>0</v>
      </c>
      <c r="G61" s="22">
        <f t="shared" si="8"/>
        <v>6.3668057609090117E-7</v>
      </c>
      <c r="H61" s="22">
        <f t="shared" si="4"/>
        <v>0.99999936331942374</v>
      </c>
      <c r="I61" s="23" cm="1">
        <f t="array" ref="I61">SUMPRODUCT(D61:H61*$K$12:$O$12)</f>
        <v>3.9474195717635876E-3</v>
      </c>
      <c r="J61" s="23">
        <f t="shared" si="5"/>
        <v>5.9571034645601617E-5</v>
      </c>
      <c r="K61" s="23">
        <f t="shared" si="3"/>
        <v>11645.37930972514</v>
      </c>
    </row>
    <row r="62" spans="3:20" x14ac:dyDescent="0.15">
      <c r="C62" s="4">
        <f t="shared" si="2"/>
        <v>46</v>
      </c>
      <c r="D62" s="22">
        <f t="shared" si="6"/>
        <v>0</v>
      </c>
      <c r="E62" s="22">
        <f t="shared" si="7"/>
        <v>0</v>
      </c>
      <c r="F62" s="22">
        <f t="shared" si="9"/>
        <v>0</v>
      </c>
      <c r="G62" s="22">
        <f t="shared" si="8"/>
        <v>4.4567640326363078E-7</v>
      </c>
      <c r="H62" s="22">
        <f t="shared" si="4"/>
        <v>0.99999955432359655</v>
      </c>
      <c r="I62" s="23" cm="1">
        <f t="array" ref="I62">SUMPRODUCT(D62:H62*$K$12:$O$12)</f>
        <v>2.7631937002345107E-3</v>
      </c>
      <c r="J62" s="23">
        <f t="shared" si="5"/>
        <v>3.7908840229019198E-5</v>
      </c>
      <c r="K62" s="23">
        <f t="shared" si="3"/>
        <v>11645.37934763398</v>
      </c>
    </row>
    <row r="63" spans="3:20" x14ac:dyDescent="0.15">
      <c r="C63" s="4">
        <f t="shared" si="2"/>
        <v>47</v>
      </c>
      <c r="D63" s="22">
        <f t="shared" si="6"/>
        <v>0</v>
      </c>
      <c r="E63" s="22">
        <f t="shared" si="7"/>
        <v>0</v>
      </c>
      <c r="F63" s="22">
        <f t="shared" si="9"/>
        <v>0</v>
      </c>
      <c r="G63" s="22">
        <f t="shared" si="8"/>
        <v>3.1197348228454154E-7</v>
      </c>
      <c r="H63" s="22">
        <f t="shared" si="4"/>
        <v>0.99999968802651751</v>
      </c>
      <c r="I63" s="23" cm="1">
        <f t="array" ref="I63">SUMPRODUCT(D63:H63*$K$12:$O$12)</f>
        <v>1.9342355901641576E-3</v>
      </c>
      <c r="J63" s="23">
        <f t="shared" si="5"/>
        <v>2.4123807418466762E-5</v>
      </c>
      <c r="K63" s="23">
        <f t="shared" si="3"/>
        <v>11645.379371757786</v>
      </c>
    </row>
    <row r="64" spans="3:20" x14ac:dyDescent="0.15">
      <c r="C64" s="4">
        <f t="shared" si="2"/>
        <v>48</v>
      </c>
      <c r="D64" s="22">
        <f t="shared" si="6"/>
        <v>0</v>
      </c>
      <c r="E64" s="22">
        <f t="shared" si="7"/>
        <v>0</v>
      </c>
      <c r="F64" s="22">
        <f t="shared" si="9"/>
        <v>0</v>
      </c>
      <c r="G64" s="22">
        <f t="shared" si="8"/>
        <v>2.1838143759917906E-7</v>
      </c>
      <c r="H64" s="22">
        <f t="shared" si="4"/>
        <v>0.99999978161856218</v>
      </c>
      <c r="I64" s="23" cm="1">
        <f t="array" ref="I64">SUMPRODUCT(D64:H64*$K$12:$O$12)</f>
        <v>1.3539649131149101E-3</v>
      </c>
      <c r="J64" s="23">
        <f t="shared" si="5"/>
        <v>1.5351513811751571E-5</v>
      </c>
      <c r="K64" s="23">
        <f t="shared" si="3"/>
        <v>11645.3793871093</v>
      </c>
    </row>
    <row r="65" spans="3:11" x14ac:dyDescent="0.15">
      <c r="C65" s="4">
        <f t="shared" si="2"/>
        <v>49</v>
      </c>
      <c r="D65" s="22">
        <f t="shared" si="6"/>
        <v>0</v>
      </c>
      <c r="E65" s="22">
        <f t="shared" si="7"/>
        <v>0</v>
      </c>
      <c r="F65" s="22">
        <f t="shared" si="9"/>
        <v>0</v>
      </c>
      <c r="G65" s="22">
        <f t="shared" si="8"/>
        <v>1.5286700631942535E-7</v>
      </c>
      <c r="H65" s="22">
        <f t="shared" si="4"/>
        <v>0.9999998471329935</v>
      </c>
      <c r="I65" s="23" cm="1">
        <f t="array" ref="I65">SUMPRODUCT(D65:H65*$K$12:$O$12)</f>
        <v>9.4777543918043712E-4</v>
      </c>
      <c r="J65" s="23">
        <f t="shared" si="5"/>
        <v>9.7691451529328193E-6</v>
      </c>
      <c r="K65" s="23">
        <f t="shared" si="3"/>
        <v>11645.379396878445</v>
      </c>
    </row>
    <row r="66" spans="3:11" x14ac:dyDescent="0.15">
      <c r="C66" s="4">
        <f t="shared" si="2"/>
        <v>50</v>
      </c>
      <c r="D66" s="22">
        <f t="shared" si="6"/>
        <v>0</v>
      </c>
      <c r="E66" s="22">
        <f t="shared" si="7"/>
        <v>0</v>
      </c>
      <c r="F66" s="22">
        <f t="shared" si="9"/>
        <v>0</v>
      </c>
      <c r="G66" s="22">
        <f t="shared" si="8"/>
        <v>1.0700690442359773E-7</v>
      </c>
      <c r="H66" s="22">
        <f t="shared" si="4"/>
        <v>0.99999989299309544</v>
      </c>
      <c r="I66" s="23" cm="1">
        <f t="array" ref="I66">SUMPRODUCT(D66:H66*$K$12:$O$12)</f>
        <v>6.6344280742630592E-4</v>
      </c>
      <c r="J66" s="23">
        <f t="shared" si="5"/>
        <v>6.2167287336845204E-6</v>
      </c>
      <c r="K66" s="23">
        <f t="shared" si="3"/>
        <v>11645.379403095174</v>
      </c>
    </row>
    <row r="67" spans="3:11" x14ac:dyDescent="0.15">
      <c r="C67" s="4">
        <f t="shared" si="2"/>
        <v>51</v>
      </c>
      <c r="D67" s="22">
        <f t="shared" si="6"/>
        <v>0</v>
      </c>
      <c r="E67" s="22">
        <f t="shared" si="7"/>
        <v>0</v>
      </c>
      <c r="F67" s="22">
        <f t="shared" si="9"/>
        <v>0</v>
      </c>
      <c r="G67" s="22">
        <f t="shared" si="8"/>
        <v>7.4904833096518409E-8</v>
      </c>
      <c r="H67" s="22">
        <f t="shared" si="4"/>
        <v>0.99999992509516678</v>
      </c>
      <c r="I67" s="23" cm="1">
        <f t="array" ref="I67">SUMPRODUCT(D67:H67*$K$12:$O$12)</f>
        <v>4.6440996519841413E-4</v>
      </c>
      <c r="J67" s="23">
        <f t="shared" si="5"/>
        <v>3.9561001032537856E-6</v>
      </c>
      <c r="K67" s="23">
        <f t="shared" si="3"/>
        <v>11645.379407051274</v>
      </c>
    </row>
    <row r="68" spans="3:11" x14ac:dyDescent="0.15">
      <c r="C68" s="4">
        <f t="shared" si="2"/>
        <v>52</v>
      </c>
      <c r="D68" s="22">
        <f t="shared" si="6"/>
        <v>0</v>
      </c>
      <c r="E68" s="22">
        <f t="shared" si="7"/>
        <v>0</v>
      </c>
      <c r="F68" s="22">
        <f t="shared" si="9"/>
        <v>0</v>
      </c>
      <c r="G68" s="22">
        <f t="shared" si="8"/>
        <v>5.243338316756288E-8</v>
      </c>
      <c r="H68" s="22">
        <f t="shared" si="4"/>
        <v>0.9999999475666167</v>
      </c>
      <c r="I68" s="23" cm="1">
        <f t="array" ref="I68">SUMPRODUCT(D68:H68*$K$12:$O$12)</f>
        <v>3.2508697563888987E-4</v>
      </c>
      <c r="J68" s="23">
        <f t="shared" si="5"/>
        <v>2.5175182475251357E-6</v>
      </c>
      <c r="K68" s="23">
        <f t="shared" si="3"/>
        <v>11645.379409568792</v>
      </c>
    </row>
    <row r="69" spans="3:11" x14ac:dyDescent="0.15">
      <c r="C69" s="4">
        <f t="shared" si="2"/>
        <v>53</v>
      </c>
      <c r="D69" s="22">
        <f t="shared" si="6"/>
        <v>0</v>
      </c>
      <c r="E69" s="22">
        <f t="shared" si="7"/>
        <v>0</v>
      </c>
      <c r="F69" s="22">
        <f t="shared" si="9"/>
        <v>0</v>
      </c>
      <c r="G69" s="22">
        <f t="shared" si="8"/>
        <v>3.6703368217294013E-8</v>
      </c>
      <c r="H69" s="22">
        <f t="shared" si="4"/>
        <v>0.99999996329663166</v>
      </c>
      <c r="I69" s="23" cm="1">
        <f t="array" ref="I69">SUMPRODUCT(D69:H69*$K$12:$O$12)</f>
        <v>2.2756088294722287E-4</v>
      </c>
      <c r="J69" s="23">
        <f t="shared" si="5"/>
        <v>1.602057066606904E-6</v>
      </c>
      <c r="K69" s="23">
        <f t="shared" si="3"/>
        <v>11645.379411170848</v>
      </c>
    </row>
    <row r="70" spans="3:11" x14ac:dyDescent="0.15">
      <c r="C70" s="4">
        <f t="shared" si="2"/>
        <v>54</v>
      </c>
      <c r="D70" s="22">
        <f t="shared" si="6"/>
        <v>0</v>
      </c>
      <c r="E70" s="22">
        <f t="shared" si="7"/>
        <v>0</v>
      </c>
      <c r="F70" s="22">
        <f t="shared" si="9"/>
        <v>0</v>
      </c>
      <c r="G70" s="22">
        <f t="shared" si="8"/>
        <v>2.5692357752105807E-8</v>
      </c>
      <c r="H70" s="22">
        <f t="shared" si="4"/>
        <v>0.99999997430764209</v>
      </c>
      <c r="I70" s="23" cm="1">
        <f t="array" ref="I70">SUMPRODUCT(D70:H70*$K$12:$O$12)</f>
        <v>1.5929261806305601E-4</v>
      </c>
      <c r="J70" s="23">
        <f t="shared" si="5"/>
        <v>1.0194908605680299E-6</v>
      </c>
      <c r="K70" s="23">
        <f t="shared" si="3"/>
        <v>11645.379412190339</v>
      </c>
    </row>
    <row r="71" spans="3:11" x14ac:dyDescent="0.15">
      <c r="C71" s="4">
        <f t="shared" si="2"/>
        <v>55</v>
      </c>
      <c r="D71" s="22">
        <f t="shared" si="6"/>
        <v>0</v>
      </c>
      <c r="E71" s="22">
        <f t="shared" si="7"/>
        <v>0</v>
      </c>
      <c r="F71" s="22">
        <f t="shared" si="9"/>
        <v>0</v>
      </c>
      <c r="G71" s="22">
        <f t="shared" si="8"/>
        <v>1.7984650426474064E-8</v>
      </c>
      <c r="H71" s="22">
        <f t="shared" si="4"/>
        <v>0.99999998201534945</v>
      </c>
      <c r="I71" s="23" cm="1">
        <f t="array" ref="I71">SUMPRODUCT(D71:H71*$K$12:$O$12)</f>
        <v>1.1150483264413919E-4</v>
      </c>
      <c r="J71" s="23">
        <f t="shared" si="5"/>
        <v>6.4876691127056432E-7</v>
      </c>
      <c r="K71" s="23">
        <f t="shared" si="3"/>
        <v>11645.379412839105</v>
      </c>
    </row>
    <row r="72" spans="3:11" x14ac:dyDescent="0.15">
      <c r="C72" s="4">
        <f t="shared" si="2"/>
        <v>56</v>
      </c>
      <c r="D72" s="22">
        <f t="shared" si="6"/>
        <v>0</v>
      </c>
      <c r="E72" s="22">
        <f t="shared" si="7"/>
        <v>0</v>
      </c>
      <c r="F72" s="22">
        <f t="shared" si="9"/>
        <v>0</v>
      </c>
      <c r="G72" s="22">
        <f t="shared" si="8"/>
        <v>1.2589255298531844E-8</v>
      </c>
      <c r="H72" s="22">
        <f t="shared" si="4"/>
        <v>0.99999998741074458</v>
      </c>
      <c r="I72" s="23" cm="1">
        <f t="array" ref="I72">SUMPRODUCT(D72:H72*$K$12:$O$12)</f>
        <v>7.8053382850897435E-5</v>
      </c>
      <c r="J72" s="23">
        <f t="shared" si="5"/>
        <v>4.1285167080854082E-7</v>
      </c>
      <c r="K72" s="23">
        <f t="shared" si="3"/>
        <v>11645.379413251958</v>
      </c>
    </row>
    <row r="73" spans="3:11" x14ac:dyDescent="0.15">
      <c r="C73" s="4">
        <f t="shared" si="2"/>
        <v>57</v>
      </c>
      <c r="D73" s="22">
        <f t="shared" si="6"/>
        <v>0</v>
      </c>
      <c r="E73" s="22">
        <f t="shared" si="7"/>
        <v>0</v>
      </c>
      <c r="F73" s="22">
        <f t="shared" si="9"/>
        <v>0</v>
      </c>
      <c r="G73" s="22">
        <f t="shared" si="8"/>
        <v>8.8124787089722893E-9</v>
      </c>
      <c r="H73" s="22">
        <f t="shared" si="4"/>
        <v>0.99999999118752114</v>
      </c>
      <c r="I73" s="23" cm="1">
        <f t="array" ref="I73">SUMPRODUCT(D73:H73*$K$12:$O$12)</f>
        <v>5.4637367995628191E-5</v>
      </c>
      <c r="J73" s="23">
        <f t="shared" si="5"/>
        <v>2.6272379051452598E-7</v>
      </c>
      <c r="K73" s="23">
        <f t="shared" si="3"/>
        <v>11645.379413514682</v>
      </c>
    </row>
    <row r="74" spans="3:11" x14ac:dyDescent="0.15">
      <c r="C74" s="4">
        <f t="shared" si="2"/>
        <v>58</v>
      </c>
      <c r="D74" s="22">
        <f t="shared" si="6"/>
        <v>0</v>
      </c>
      <c r="E74" s="22">
        <f t="shared" si="7"/>
        <v>0</v>
      </c>
      <c r="F74" s="22">
        <f t="shared" si="9"/>
        <v>0</v>
      </c>
      <c r="G74" s="22">
        <f t="shared" si="8"/>
        <v>6.1687350962806018E-9</v>
      </c>
      <c r="H74" s="22">
        <f t="shared" si="4"/>
        <v>0.9999999938312647</v>
      </c>
      <c r="I74" s="23" cm="1">
        <f t="array" ref="I74">SUMPRODUCT(D74:H74*$K$12:$O$12)</f>
        <v>3.8246157596939729E-5</v>
      </c>
      <c r="J74" s="23">
        <f t="shared" si="5"/>
        <v>1.6718786669106193E-7</v>
      </c>
      <c r="K74" s="23">
        <f t="shared" si="3"/>
        <v>11645.379413681871</v>
      </c>
    </row>
    <row r="75" spans="3:11" x14ac:dyDescent="0.15">
      <c r="C75" s="4">
        <f t="shared" si="2"/>
        <v>59</v>
      </c>
      <c r="D75" s="22">
        <f t="shared" si="6"/>
        <v>0</v>
      </c>
      <c r="E75" s="22">
        <f t="shared" si="7"/>
        <v>0</v>
      </c>
      <c r="F75" s="22">
        <f t="shared" si="9"/>
        <v>0</v>
      </c>
      <c r="G75" s="22">
        <f t="shared" si="8"/>
        <v>4.3181145673964209E-9</v>
      </c>
      <c r="H75" s="22">
        <f t="shared" si="4"/>
        <v>0.99999999568188525</v>
      </c>
      <c r="I75" s="23" cm="1">
        <f t="array" ref="I75">SUMPRODUCT(D75:H75*$K$12:$O$12)</f>
        <v>2.6772310317857809E-5</v>
      </c>
      <c r="J75" s="23">
        <f t="shared" si="5"/>
        <v>1.0639227880340304E-7</v>
      </c>
      <c r="K75" s="23">
        <f t="shared" si="3"/>
        <v>11645.379413788263</v>
      </c>
    </row>
    <row r="76" spans="3:11" x14ac:dyDescent="0.15">
      <c r="C76" s="4">
        <f t="shared" si="2"/>
        <v>60</v>
      </c>
      <c r="D76" s="22">
        <f t="shared" si="6"/>
        <v>0</v>
      </c>
      <c r="E76" s="22">
        <f t="shared" si="7"/>
        <v>0</v>
      </c>
      <c r="F76" s="22">
        <f t="shared" si="9"/>
        <v>0</v>
      </c>
      <c r="G76" s="22">
        <f t="shared" si="8"/>
        <v>3.0226801971774945E-9</v>
      </c>
      <c r="H76" s="22">
        <f t="shared" si="4"/>
        <v>0.99999999697731956</v>
      </c>
      <c r="I76" s="23" cm="1">
        <f t="array" ref="I76">SUMPRODUCT(D76:H76*$K$12:$O$12)</f>
        <v>1.8740617222500466E-5</v>
      </c>
      <c r="J76" s="23">
        <f t="shared" si="5"/>
        <v>6.7704177420347368E-8</v>
      </c>
      <c r="K76" s="93">
        <f t="shared" si="3"/>
        <v>11645.379413855968</v>
      </c>
    </row>
  </sheetData>
  <pageMargins left="0.75" right="0.75" top="1" bottom="1" header="0.5" footer="0.5"/>
  <pageSetup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37030E5303AA46AAE61423DC03D58E" ma:contentTypeVersion="2" ma:contentTypeDescription="Create a new document." ma:contentTypeScope="" ma:versionID="a079f53996fbb453655c9f1f76db787c">
  <xsd:schema xmlns:xsd="http://www.w3.org/2001/XMLSchema" xmlns:xs="http://www.w3.org/2001/XMLSchema" xmlns:p="http://schemas.microsoft.com/office/2006/metadata/properties" xmlns:ns2="3b15f6fd-1b8f-4490-8596-b7259bfe4f0d" targetNamespace="http://schemas.microsoft.com/office/2006/metadata/properties" ma:root="true" ma:fieldsID="1dcfbea7ace128c3e1922b61dacc32b9" ns2:_="">
    <xsd:import namespace="3b15f6fd-1b8f-4490-8596-b7259bfe4f0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15f6fd-1b8f-4490-8596-b7259bfe4f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2DD506-1BAD-42E1-895F-9BA4B7A3E32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C84B17-429B-41AE-B65A-8A0E3C01E890}">
  <ds:schemaRefs>
    <ds:schemaRef ds:uri="http://schemas.microsoft.com/sharepoint/v3/contenttype/forms"/>
  </ds:schemaRefs>
</ds:datastoreItem>
</file>

<file path=customXml/itemProps3.xml><?xml version="1.0" encoding="utf-8"?>
<ds:datastoreItem xmlns:ds="http://schemas.openxmlformats.org/officeDocument/2006/customXml" ds:itemID="{40290CFC-28B8-42EF-AADB-70BF526046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15f6fd-1b8f-4490-8596-b7259bfe4f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Q1-Q3</vt:lpstr>
      <vt:lpstr>Q4&amp;Q5</vt:lpstr>
      <vt:lpstr>Q4_yr1</vt:lpstr>
      <vt:lpstr>Q4_yr2-5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Eibl</dc:creator>
  <cp:keywords/>
  <dc:description/>
  <cp:lastModifiedBy>Microsoft Office User</cp:lastModifiedBy>
  <cp:revision/>
  <dcterms:created xsi:type="dcterms:W3CDTF">2022-01-17T18:04:06Z</dcterms:created>
  <dcterms:modified xsi:type="dcterms:W3CDTF">2022-03-23T20:45:59Z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0x0101001337030E5303AA46AAE61423DC03D58E</vt:lpwstr>
  </property>
</Properties>
</file>